
<file path=[Content_Types].xml><?xml version="1.0" encoding="utf-8"?>
<Types xmlns="http://schemas.openxmlformats.org/package/2006/content-types">
  <Default Extension="gif" ContentType="image/gif"/>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codeName="ThisWorkbook" autoCompressPictures="0"/>
  <mc:AlternateContent xmlns:mc="http://schemas.openxmlformats.org/markup-compatibility/2006">
    <mc:Choice Requires="x15">
      <x15ac:absPath xmlns:x15ac="http://schemas.microsoft.com/office/spreadsheetml/2010/11/ac" url="/Users/chrisserra/Library/CloudStorage/GoogleDrive-admin@livecertified.org/My Drive/LIVE Files/Technical Committee Work/Standards and Certification/2025/Vineyard/2024 Vineyard Reporting Templates/"/>
    </mc:Choice>
  </mc:AlternateContent>
  <xr:revisionPtr revIDLastSave="0" documentId="13_ncr:1_{C5C0794D-C59C-AC4C-8376-14B06E222457}" xr6:coauthVersionLast="47" xr6:coauthVersionMax="47" xr10:uidLastSave="{00000000-0000-0000-0000-000000000000}"/>
  <bookViews>
    <workbookView xWindow="0" yWindow="760" windowWidth="34560" windowHeight="19340" tabRatio="738" firstSheet="2" activeTab="2" xr2:uid="{00000000-000D-0000-FFFF-FFFF00000000}"/>
  </bookViews>
  <sheets>
    <sheet name="Emissions Factors" sheetId="39" r:id="rId1"/>
    <sheet name="Instructions" sheetId="51" r:id="rId2"/>
    <sheet name="General" sheetId="42" r:id="rId3"/>
    <sheet name="Stationary" sheetId="43" r:id="rId4"/>
    <sheet name="Mobile" sheetId="44" r:id="rId5"/>
    <sheet name="Refrigerants" sheetId="46" r:id="rId6"/>
    <sheet name="Land Applications" sheetId="64" r:id="rId7"/>
    <sheet name="Land Management" sheetId="65" r:id="rId8"/>
    <sheet name="Electricity" sheetId="45" r:id="rId9"/>
    <sheet name="Packaging Materials" sheetId="55" r:id="rId10"/>
    <sheet name="Business Travel" sheetId="48" r:id="rId11"/>
    <sheet name="Freight Transport" sheetId="49" r:id="rId12"/>
    <sheet name="Off-site Waste" sheetId="50" r:id="rId13"/>
    <sheet name="Report" sheetId="40" r:id="rId14"/>
  </sheets>
  <externalReferences>
    <externalReference r:id="rId15"/>
  </externalReferences>
  <definedNames>
    <definedName name="freight2" localSheetId="10">#REF!</definedName>
    <definedName name="freight2" localSheetId="8">#REF!</definedName>
    <definedName name="freight2" localSheetId="11">#REF!</definedName>
    <definedName name="freight2" localSheetId="1">#REF!</definedName>
    <definedName name="freight2" localSheetId="4">#REF!</definedName>
    <definedName name="freight2" localSheetId="12">#REF!</definedName>
    <definedName name="freight2" localSheetId="5">#REF!</definedName>
    <definedName name="freight2" localSheetId="3">#REF!</definedName>
    <definedName name="freight2">#REF!</definedName>
    <definedName name="freighti" localSheetId="10">#REF!</definedName>
    <definedName name="freighti" localSheetId="8">#REF!</definedName>
    <definedName name="freighti" localSheetId="11">#REF!</definedName>
    <definedName name="freighti" localSheetId="2">#REF!</definedName>
    <definedName name="freighti" localSheetId="1">#REF!</definedName>
    <definedName name="freighti" localSheetId="4">#REF!</definedName>
    <definedName name="freighti" localSheetId="12">#REF!</definedName>
    <definedName name="freighti" localSheetId="5">#REF!</definedName>
    <definedName name="freighti" localSheetId="3">#REF!</definedName>
    <definedName name="freighti">#REF!</definedName>
    <definedName name="pie1data">OFFSET('[1]Results (Current Year)'!$J$55,0,0,MAX(1,COUNT('[1]Results (Current Year)'!$J$55:$J$64)),1)</definedName>
    <definedName name="pie1label">OFFSET('[1]Results (Current Year)'!$K$55,0,0,MAX(1,COUNT('[1]Results (Current Year)'!$J$55:$J$64)),1)</definedName>
    <definedName name="_xlnm.Print_Area" localSheetId="10">'Business Travel'!$A$1:$O$45</definedName>
    <definedName name="_xlnm.Print_Area" localSheetId="8">Electricity!$A$1:$P$53</definedName>
    <definedName name="_xlnm.Print_Area" localSheetId="11">'Freight Transport'!$A$1:$G$79</definedName>
    <definedName name="_xlnm.Print_Area" localSheetId="2">General!$B$1:$J$36</definedName>
    <definedName name="_xlnm.Print_Area" localSheetId="1">Instructions!$A$1:$P$13</definedName>
    <definedName name="_xlnm.Print_Area" localSheetId="4">Mobile!$A$1:$H$81</definedName>
    <definedName name="_xlnm.Print_Area" localSheetId="12">'Off-site Waste'!$A$1:$O$31</definedName>
    <definedName name="_xlnm.Print_Area" localSheetId="5">Refrigerants!$A$1:$P$74</definedName>
    <definedName name="_xlnm.Print_Area" localSheetId="13">Report!$A$1:$O$53</definedName>
    <definedName name="_xlnm.Print_Area" localSheetId="3">Stationary!$A$1:$Q$41</definedName>
    <definedName name="stationary3" localSheetId="10">#REF!</definedName>
    <definedName name="stationary3" localSheetId="8">#REF!</definedName>
    <definedName name="stationary3" localSheetId="11">#REF!</definedName>
    <definedName name="stationary3" localSheetId="1">#REF!</definedName>
    <definedName name="stationary3" localSheetId="12">#REF!</definedName>
    <definedName name="stationary3" localSheetId="5">#REF!</definedName>
    <definedName name="stationary3">#REF!</definedName>
    <definedName name="tonslbs">'[1]Fertilizer Use (Optional)'!$CC$1:$CC$2</definedName>
    <definedName name="yesno">'[1]General Information (Required)'!$CU$1:$CU$3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6" i="40" l="1"/>
  <c r="E15" i="40"/>
  <c r="D467" i="39"/>
  <c r="E14" i="40" s="1"/>
  <c r="C467" i="39"/>
  <c r="AD53" i="55"/>
  <c r="AG53" i="55" s="1"/>
  <c r="AD52" i="55"/>
  <c r="AG52" i="55" s="1"/>
  <c r="D248" i="39"/>
  <c r="E249" i="39" s="1"/>
  <c r="F249" i="39" s="1"/>
  <c r="AC22" i="55" s="1"/>
  <c r="AD22" i="55" s="1"/>
  <c r="E22" i="55"/>
  <c r="G16" i="48"/>
  <c r="F10" i="44"/>
  <c r="AG22" i="55" l="1"/>
  <c r="C382" i="39"/>
  <c r="C33" i="65" l="1"/>
  <c r="D450" i="39"/>
  <c r="C450" i="39"/>
  <c r="E19" i="40" l="1"/>
  <c r="J43" i="64" l="1"/>
  <c r="J44" i="64"/>
  <c r="J45" i="64"/>
  <c r="J42" i="64"/>
  <c r="C407" i="39"/>
  <c r="E407" i="39" s="1"/>
  <c r="F407" i="39" s="1"/>
  <c r="C46" i="65"/>
  <c r="S75" i="44"/>
  <c r="T75" i="44" s="1"/>
  <c r="W75" i="44" s="1"/>
  <c r="S76" i="44"/>
  <c r="T76" i="44" s="1"/>
  <c r="W76" i="44" s="1"/>
  <c r="S77" i="44"/>
  <c r="T77" i="44" s="1"/>
  <c r="W77" i="44" s="1"/>
  <c r="S78" i="44"/>
  <c r="T78" i="44" s="1"/>
  <c r="W78" i="44" s="1"/>
  <c r="S79" i="44"/>
  <c r="T79" i="44" s="1"/>
  <c r="W79" i="44" s="1"/>
  <c r="S80" i="44"/>
  <c r="T80" i="44" s="1"/>
  <c r="W80" i="44" s="1"/>
  <c r="S81" i="44"/>
  <c r="T81" i="44" s="1"/>
  <c r="W81" i="44" s="1"/>
  <c r="S65" i="44"/>
  <c r="T65" i="44" s="1"/>
  <c r="W65" i="44" s="1"/>
  <c r="S66" i="44"/>
  <c r="T66" i="44" s="1"/>
  <c r="W66" i="44" s="1"/>
  <c r="S67" i="44"/>
  <c r="T67" i="44" s="1"/>
  <c r="W67" i="44" s="1"/>
  <c r="S68" i="44"/>
  <c r="T68" i="44" s="1"/>
  <c r="W68" i="44" s="1"/>
  <c r="S69" i="44"/>
  <c r="T69" i="44" s="1"/>
  <c r="W69" i="44" s="1"/>
  <c r="S70" i="44"/>
  <c r="T70" i="44" s="1"/>
  <c r="W70" i="44" s="1"/>
  <c r="R13" i="50" l="1"/>
  <c r="X13" i="46"/>
  <c r="X14" i="46"/>
  <c r="X15" i="46"/>
  <c r="X16" i="46"/>
  <c r="X12" i="46"/>
  <c r="J38" i="64"/>
  <c r="J39" i="64"/>
  <c r="J40" i="64"/>
  <c r="B37" i="64"/>
  <c r="B42" i="64" s="1"/>
  <c r="J37" i="64"/>
  <c r="J28" i="64"/>
  <c r="J29" i="64"/>
  <c r="J30" i="64"/>
  <c r="J31" i="64"/>
  <c r="J32" i="64"/>
  <c r="J33" i="64"/>
  <c r="B33" i="64"/>
  <c r="D395" i="39"/>
  <c r="K33" i="64" s="1"/>
  <c r="L33" i="64" l="1"/>
  <c r="M33" i="64" s="1"/>
  <c r="B23" i="50"/>
  <c r="B14" i="64"/>
  <c r="B13" i="64"/>
  <c r="E8" i="64"/>
  <c r="J27" i="64" l="1"/>
  <c r="J14" i="64"/>
  <c r="J13" i="64"/>
  <c r="D455" i="39"/>
  <c r="D456" i="39" s="1"/>
  <c r="C455" i="39"/>
  <c r="C456" i="39" s="1"/>
  <c r="D453" i="39"/>
  <c r="D454" i="39" s="1"/>
  <c r="C453" i="39"/>
  <c r="C454" i="39" s="1"/>
  <c r="P8" i="50" l="1"/>
  <c r="M8" i="50" s="1"/>
  <c r="P7" i="50"/>
  <c r="M7" i="50" s="1"/>
  <c r="N75" i="44" l="1"/>
  <c r="N76" i="44"/>
  <c r="N77" i="44"/>
  <c r="N78" i="44"/>
  <c r="N79" i="44"/>
  <c r="N80" i="44"/>
  <c r="N81" i="44"/>
  <c r="N65" i="44"/>
  <c r="N66" i="44"/>
  <c r="N67" i="44"/>
  <c r="N68" i="44"/>
  <c r="N69" i="44"/>
  <c r="N70" i="44"/>
  <c r="K75" i="44"/>
  <c r="K76" i="44"/>
  <c r="K77" i="44"/>
  <c r="K78" i="44"/>
  <c r="K79" i="44"/>
  <c r="K80" i="44"/>
  <c r="K81" i="44"/>
  <c r="K65" i="44"/>
  <c r="K66" i="44"/>
  <c r="K67" i="44"/>
  <c r="K68" i="44"/>
  <c r="K69" i="44"/>
  <c r="K70" i="44"/>
  <c r="L64" i="44"/>
  <c r="L65" i="44"/>
  <c r="L66" i="44"/>
  <c r="L67" i="44"/>
  <c r="L68" i="44"/>
  <c r="L69" i="44"/>
  <c r="L70" i="44"/>
  <c r="L73" i="44"/>
  <c r="L74" i="44"/>
  <c r="L75" i="44"/>
  <c r="L76" i="44"/>
  <c r="L77" i="44"/>
  <c r="L78" i="44"/>
  <c r="L79" i="44"/>
  <c r="L80" i="44"/>
  <c r="L81" i="44"/>
  <c r="L63" i="44"/>
  <c r="H175" i="39"/>
  <c r="H171" i="39"/>
  <c r="E171" i="39"/>
  <c r="E175" i="39"/>
  <c r="G178" i="39"/>
  <c r="H178" i="39" s="1"/>
  <c r="G177" i="39"/>
  <c r="H177" i="39" s="1"/>
  <c r="G176" i="39"/>
  <c r="H176" i="39" s="1"/>
  <c r="G174" i="39"/>
  <c r="H174" i="39" s="1"/>
  <c r="G173" i="39"/>
  <c r="H173" i="39" s="1"/>
  <c r="G172" i="39"/>
  <c r="H172" i="39" s="1"/>
  <c r="G170" i="39"/>
  <c r="H170" i="39" s="1"/>
  <c r="G169" i="39"/>
  <c r="H169" i="39" s="1"/>
  <c r="N63" i="44" s="1"/>
  <c r="G168" i="39"/>
  <c r="H168" i="39" s="1"/>
  <c r="G167" i="39"/>
  <c r="H167" i="39" s="1"/>
  <c r="G166" i="39"/>
  <c r="H166" i="39" s="1"/>
  <c r="D178" i="39"/>
  <c r="E178" i="39" s="1"/>
  <c r="D177" i="39"/>
  <c r="E177" i="39" s="1"/>
  <c r="D176" i="39"/>
  <c r="E176" i="39" s="1"/>
  <c r="D174" i="39"/>
  <c r="E174" i="39" s="1"/>
  <c r="D173" i="39"/>
  <c r="E173" i="39" s="1"/>
  <c r="D172" i="39"/>
  <c r="E172" i="39" s="1"/>
  <c r="N73" i="44" s="1"/>
  <c r="D170" i="39"/>
  <c r="E170" i="39" s="1"/>
  <c r="D169" i="39"/>
  <c r="E169" i="39" s="1"/>
  <c r="D168" i="39"/>
  <c r="E168" i="39" s="1"/>
  <c r="N74" i="44" s="1"/>
  <c r="D167" i="39"/>
  <c r="E167" i="39" s="1"/>
  <c r="D166" i="39"/>
  <c r="E166" i="39" s="1"/>
  <c r="F178" i="39"/>
  <c r="F177" i="39"/>
  <c r="F176" i="39"/>
  <c r="F175" i="39"/>
  <c r="F174" i="39"/>
  <c r="F173" i="39"/>
  <c r="F172" i="39"/>
  <c r="F171" i="39"/>
  <c r="F170" i="39"/>
  <c r="F169" i="39"/>
  <c r="K63" i="44" s="1"/>
  <c r="F168" i="39"/>
  <c r="F167" i="39"/>
  <c r="K64" i="44" s="1"/>
  <c r="F166" i="39"/>
  <c r="C178" i="39"/>
  <c r="C177" i="39"/>
  <c r="C176" i="39"/>
  <c r="C173" i="39"/>
  <c r="C172" i="39"/>
  <c r="K73" i="44" s="1"/>
  <c r="C171" i="39"/>
  <c r="C170" i="39"/>
  <c r="C169" i="39"/>
  <c r="C168" i="39"/>
  <c r="K74" i="44" s="1"/>
  <c r="C174" i="39"/>
  <c r="C175" i="39"/>
  <c r="C167" i="39"/>
  <c r="C166" i="39"/>
  <c r="J174" i="39" l="1"/>
  <c r="J166" i="39"/>
  <c r="J175" i="39"/>
  <c r="K173" i="39"/>
  <c r="K168" i="39"/>
  <c r="K172" i="39"/>
  <c r="K171" i="39"/>
  <c r="K169" i="39"/>
  <c r="S63" i="44" s="1"/>
  <c r="J168" i="39"/>
  <c r="S74" i="44" s="1"/>
  <c r="J172" i="39"/>
  <c r="S73" i="44" s="1"/>
  <c r="J173" i="39"/>
  <c r="J171" i="39"/>
  <c r="J169" i="39"/>
  <c r="N64" i="44"/>
  <c r="K166" i="39"/>
  <c r="K175" i="39"/>
  <c r="S64" i="44" s="1"/>
  <c r="K174" i="39"/>
  <c r="M66" i="44"/>
  <c r="O66" i="44" s="1"/>
  <c r="V66" i="44" s="1"/>
  <c r="M76" i="44"/>
  <c r="O76" i="44" s="1"/>
  <c r="V76" i="44" s="1"/>
  <c r="M80" i="44"/>
  <c r="O80" i="44" s="1"/>
  <c r="V80" i="44" s="1"/>
  <c r="M79" i="44"/>
  <c r="O79" i="44" s="1"/>
  <c r="V79" i="44" s="1"/>
  <c r="M75" i="44"/>
  <c r="O75" i="44" s="1"/>
  <c r="V75" i="44" s="1"/>
  <c r="M70" i="44"/>
  <c r="O70" i="44" s="1"/>
  <c r="V70" i="44" s="1"/>
  <c r="M78" i="44"/>
  <c r="O78" i="44" s="1"/>
  <c r="V78" i="44" s="1"/>
  <c r="M74" i="44"/>
  <c r="M67" i="44"/>
  <c r="O67" i="44" s="1"/>
  <c r="V67" i="44" s="1"/>
  <c r="M69" i="44"/>
  <c r="O69" i="44" s="1"/>
  <c r="V69" i="44" s="1"/>
  <c r="M65" i="44"/>
  <c r="O65" i="44" s="1"/>
  <c r="V65" i="44" s="1"/>
  <c r="M77" i="44"/>
  <c r="O77" i="44" s="1"/>
  <c r="V77" i="44" s="1"/>
  <c r="M63" i="44"/>
  <c r="M81" i="44"/>
  <c r="O81" i="44" s="1"/>
  <c r="V81" i="44" s="1"/>
  <c r="M73" i="44"/>
  <c r="M68" i="44"/>
  <c r="O68" i="44" s="1"/>
  <c r="V68" i="44" s="1"/>
  <c r="M64" i="44"/>
  <c r="Q40" i="44"/>
  <c r="Q41" i="44"/>
  <c r="Q42" i="44"/>
  <c r="Q43" i="44"/>
  <c r="Q44" i="44"/>
  <c r="Q45" i="44"/>
  <c r="Q46" i="44"/>
  <c r="Q47" i="44"/>
  <c r="Q49" i="44"/>
  <c r="Q50" i="44"/>
  <c r="Q51" i="44"/>
  <c r="Q52" i="44"/>
  <c r="Q53" i="44"/>
  <c r="Q54" i="44"/>
  <c r="Q55" i="44"/>
  <c r="Q26" i="44"/>
  <c r="Q20" i="44"/>
  <c r="O40" i="44"/>
  <c r="O41" i="44"/>
  <c r="O42" i="44"/>
  <c r="O43" i="44"/>
  <c r="O44" i="44"/>
  <c r="O45" i="44"/>
  <c r="O46" i="44"/>
  <c r="O47" i="44"/>
  <c r="O49" i="44"/>
  <c r="O50" i="44"/>
  <c r="O51" i="44"/>
  <c r="O52" i="44"/>
  <c r="O53" i="44"/>
  <c r="O54" i="44"/>
  <c r="O55" i="44"/>
  <c r="O26" i="44"/>
  <c r="O20" i="44"/>
  <c r="S40" i="44"/>
  <c r="S41" i="44"/>
  <c r="S42" i="44"/>
  <c r="S43" i="44"/>
  <c r="S44" i="44"/>
  <c r="S45" i="44"/>
  <c r="S46" i="44"/>
  <c r="S47" i="44"/>
  <c r="S49" i="44"/>
  <c r="S50" i="44"/>
  <c r="S51" i="44"/>
  <c r="S52" i="44"/>
  <c r="S53" i="44"/>
  <c r="S54" i="44"/>
  <c r="S55" i="44"/>
  <c r="M40" i="44"/>
  <c r="M41" i="44"/>
  <c r="M42" i="44"/>
  <c r="M43" i="44"/>
  <c r="M44" i="44"/>
  <c r="M45" i="44"/>
  <c r="M46" i="44"/>
  <c r="M47" i="44"/>
  <c r="M49" i="44"/>
  <c r="M50" i="44"/>
  <c r="M51" i="44"/>
  <c r="M52" i="44"/>
  <c r="M53" i="44"/>
  <c r="M54" i="44"/>
  <c r="M55" i="44"/>
  <c r="O73" i="44" l="1"/>
  <c r="V73" i="44" s="1"/>
  <c r="T73" i="44"/>
  <c r="W73" i="44" s="1"/>
  <c r="O74" i="44"/>
  <c r="V74" i="44" s="1"/>
  <c r="T74" i="44"/>
  <c r="W74" i="44" s="1"/>
  <c r="O64" i="44"/>
  <c r="V64" i="44" s="1"/>
  <c r="T64" i="44"/>
  <c r="W64" i="44" s="1"/>
  <c r="O63" i="44"/>
  <c r="V63" i="44" s="1"/>
  <c r="T63" i="44"/>
  <c r="W63" i="44" s="1"/>
  <c r="S25" i="44"/>
  <c r="S21" i="44"/>
  <c r="M28" i="44"/>
  <c r="M27" i="44"/>
  <c r="M26" i="44"/>
  <c r="M20" i="44"/>
  <c r="M17" i="44"/>
  <c r="L54" i="39"/>
  <c r="S24" i="44" s="1"/>
  <c r="K54" i="39"/>
  <c r="K53" i="39"/>
  <c r="H54" i="39"/>
  <c r="M24" i="44" s="1"/>
  <c r="H53" i="39"/>
  <c r="L52" i="39"/>
  <c r="S22" i="44" s="1"/>
  <c r="K52" i="39"/>
  <c r="H52" i="39"/>
  <c r="M22" i="44" s="1"/>
  <c r="H51" i="39"/>
  <c r="M23" i="44" s="1"/>
  <c r="M38" i="44" l="1"/>
  <c r="M16" i="44"/>
  <c r="M39" i="44"/>
  <c r="L17" i="44" l="1"/>
  <c r="L18" i="44"/>
  <c r="L19" i="44"/>
  <c r="L20" i="44"/>
  <c r="L21" i="44"/>
  <c r="L22" i="44"/>
  <c r="L23" i="44"/>
  <c r="L24" i="44"/>
  <c r="L25" i="44"/>
  <c r="L26" i="44"/>
  <c r="L27" i="44"/>
  <c r="L28" i="44"/>
  <c r="L16" i="44"/>
  <c r="P20" i="44" l="1"/>
  <c r="R20" i="44"/>
  <c r="P26" i="44"/>
  <c r="R26" i="44"/>
  <c r="K39" i="44"/>
  <c r="K40" i="44"/>
  <c r="K41" i="44"/>
  <c r="K42" i="44"/>
  <c r="K43" i="44"/>
  <c r="K44" i="44"/>
  <c r="K45" i="44"/>
  <c r="K46" i="44"/>
  <c r="K47" i="44"/>
  <c r="K48" i="44"/>
  <c r="K49" i="44"/>
  <c r="K50" i="44"/>
  <c r="K51" i="44"/>
  <c r="K52" i="44"/>
  <c r="K53" i="44"/>
  <c r="K54" i="44"/>
  <c r="K55" i="44"/>
  <c r="K38" i="44"/>
  <c r="D367" i="39" l="1"/>
  <c r="E51" i="65" l="1"/>
  <c r="Q45" i="45" l="1"/>
  <c r="Q44" i="45"/>
  <c r="Q43" i="45"/>
  <c r="Q42" i="45"/>
  <c r="Q41" i="45"/>
  <c r="Q40" i="45"/>
  <c r="Q39" i="45"/>
  <c r="Q38" i="45"/>
  <c r="Q37" i="45"/>
  <c r="Q36" i="45"/>
  <c r="Q35" i="45"/>
  <c r="Q34" i="45"/>
  <c r="Q33" i="45"/>
  <c r="Q32" i="45"/>
  <c r="Q31" i="45"/>
  <c r="Q30" i="45"/>
  <c r="Q29" i="45"/>
  <c r="Q28" i="45"/>
  <c r="Q27" i="45"/>
  <c r="Q26" i="45"/>
  <c r="Q25" i="45"/>
  <c r="Q24" i="45"/>
  <c r="Q23" i="45"/>
  <c r="Q22" i="45"/>
  <c r="Q21" i="45"/>
  <c r="Q12" i="45"/>
  <c r="J13" i="65"/>
  <c r="J33" i="65" s="1"/>
  <c r="K33" i="65" s="1"/>
  <c r="C45" i="65"/>
  <c r="V19" i="43"/>
  <c r="T19" i="43"/>
  <c r="Q19" i="43"/>
  <c r="Q10" i="43"/>
  <c r="C37" i="65" l="1"/>
  <c r="C38" i="65"/>
  <c r="C39" i="65"/>
  <c r="C383" i="39" l="1"/>
  <c r="K20" i="64" s="1"/>
  <c r="B19" i="50" l="1"/>
  <c r="R19" i="50" s="1"/>
  <c r="B20" i="50"/>
  <c r="R20" i="50" s="1"/>
  <c r="B21" i="50"/>
  <c r="R21" i="50" s="1"/>
  <c r="B22" i="50"/>
  <c r="R22" i="50" s="1"/>
  <c r="K26" i="65"/>
  <c r="M26" i="65" s="1"/>
  <c r="K27" i="65"/>
  <c r="M27" i="65" s="1"/>
  <c r="K25" i="65"/>
  <c r="C36" i="65"/>
  <c r="C35" i="65"/>
  <c r="C34" i="65"/>
  <c r="C32" i="65"/>
  <c r="C47" i="65"/>
  <c r="C48" i="65"/>
  <c r="C49" i="65"/>
  <c r="C50" i="65"/>
  <c r="D432" i="39"/>
  <c r="J46" i="65" s="1"/>
  <c r="K46" i="65" s="1"/>
  <c r="C432" i="39"/>
  <c r="D435" i="39"/>
  <c r="C435" i="39"/>
  <c r="D433" i="39"/>
  <c r="C433" i="39"/>
  <c r="D434" i="39"/>
  <c r="C434" i="39"/>
  <c r="C242" i="39"/>
  <c r="D242" i="39" s="1"/>
  <c r="E242" i="39" s="1"/>
  <c r="AC18" i="55" s="1"/>
  <c r="AD18" i="55" s="1"/>
  <c r="AG18" i="55" s="1"/>
  <c r="E40" i="65"/>
  <c r="C366" i="39"/>
  <c r="B32" i="43"/>
  <c r="X32" i="43" s="1"/>
  <c r="B31" i="43"/>
  <c r="R31" i="43" s="1"/>
  <c r="B30" i="43"/>
  <c r="X30" i="43" s="1"/>
  <c r="Q30" i="43"/>
  <c r="B29" i="43"/>
  <c r="B28" i="43"/>
  <c r="B27" i="43"/>
  <c r="B26" i="43"/>
  <c r="E28" i="65"/>
  <c r="D375" i="39"/>
  <c r="C375" i="39"/>
  <c r="K13" i="64" s="1"/>
  <c r="L55" i="39"/>
  <c r="S18" i="44" s="1"/>
  <c r="K55" i="39"/>
  <c r="H55" i="39"/>
  <c r="M18" i="44" s="1"/>
  <c r="N41" i="39"/>
  <c r="J49" i="39"/>
  <c r="I49" i="39"/>
  <c r="G49" i="39"/>
  <c r="F49" i="39"/>
  <c r="B20" i="64"/>
  <c r="D390" i="39"/>
  <c r="K28" i="64" s="1"/>
  <c r="L28" i="64" s="1"/>
  <c r="M28" i="64" s="1"/>
  <c r="D391" i="39"/>
  <c r="K29" i="64" s="1"/>
  <c r="L29" i="64" s="1"/>
  <c r="M29" i="64" s="1"/>
  <c r="D392" i="39"/>
  <c r="K30" i="64" s="1"/>
  <c r="L30" i="64" s="1"/>
  <c r="M30" i="64" s="1"/>
  <c r="D393" i="39"/>
  <c r="K31" i="64" s="1"/>
  <c r="L31" i="64" s="1"/>
  <c r="M31" i="64" s="1"/>
  <c r="D394" i="39"/>
  <c r="K32" i="64" s="1"/>
  <c r="L32" i="64" s="1"/>
  <c r="M32" i="64" s="1"/>
  <c r="D389" i="39"/>
  <c r="K27" i="64" s="1"/>
  <c r="B28" i="64"/>
  <c r="B29" i="64"/>
  <c r="B30" i="64"/>
  <c r="B31" i="64"/>
  <c r="B32" i="64"/>
  <c r="B27" i="64"/>
  <c r="L20" i="64"/>
  <c r="M20" i="64" s="1"/>
  <c r="K14" i="64"/>
  <c r="T17" i="43"/>
  <c r="Z13" i="46"/>
  <c r="Z14" i="46"/>
  <c r="Z15" i="46"/>
  <c r="Z16" i="46"/>
  <c r="Z12" i="46"/>
  <c r="Q29" i="43"/>
  <c r="T29" i="43"/>
  <c r="V29" i="43"/>
  <c r="X37" i="43"/>
  <c r="X36" i="43"/>
  <c r="X35" i="43"/>
  <c r="V28" i="43"/>
  <c r="T28" i="43"/>
  <c r="Q28" i="43"/>
  <c r="V27" i="43"/>
  <c r="T27" i="43"/>
  <c r="Q27" i="43"/>
  <c r="V36" i="43"/>
  <c r="U36" i="43"/>
  <c r="T36" i="43"/>
  <c r="S36" i="43"/>
  <c r="R36" i="43"/>
  <c r="Q36" i="43"/>
  <c r="N40" i="39"/>
  <c r="L53" i="39"/>
  <c r="L51" i="39"/>
  <c r="S23" i="44" s="1"/>
  <c r="K51" i="39"/>
  <c r="L50" i="39"/>
  <c r="K50" i="39"/>
  <c r="H50" i="39"/>
  <c r="N39" i="39"/>
  <c r="N37" i="39"/>
  <c r="N38" i="39"/>
  <c r="U37" i="43"/>
  <c r="AA37" i="43" s="1"/>
  <c r="S37" i="43"/>
  <c r="Z37" i="43" s="1"/>
  <c r="Q37" i="43"/>
  <c r="R37" i="43"/>
  <c r="W37" i="43" s="1"/>
  <c r="R35" i="43"/>
  <c r="Q31" i="43"/>
  <c r="N36" i="39"/>
  <c r="N35" i="39"/>
  <c r="N34" i="39"/>
  <c r="N33" i="39"/>
  <c r="V35" i="43"/>
  <c r="T35" i="43"/>
  <c r="Q35" i="43"/>
  <c r="N32" i="39"/>
  <c r="V37" i="43"/>
  <c r="T37" i="43"/>
  <c r="B17" i="64"/>
  <c r="E9" i="64"/>
  <c r="B39" i="64"/>
  <c r="B44" i="64" s="1"/>
  <c r="B40" i="64"/>
  <c r="B45" i="64" s="1"/>
  <c r="B38" i="64"/>
  <c r="B43" i="64" s="1"/>
  <c r="D403" i="39"/>
  <c r="D404" i="39"/>
  <c r="K39" i="64" s="1"/>
  <c r="D405" i="39"/>
  <c r="D402" i="39"/>
  <c r="Y12" i="46"/>
  <c r="Y13" i="46"/>
  <c r="Y14" i="46"/>
  <c r="Y15" i="46"/>
  <c r="Y16" i="46"/>
  <c r="S22" i="46"/>
  <c r="R22" i="46"/>
  <c r="T22" i="46"/>
  <c r="Q22" i="46" s="1"/>
  <c r="W22" i="46"/>
  <c r="U22" i="46" s="1"/>
  <c r="V22" i="46"/>
  <c r="Z22" i="46"/>
  <c r="S23" i="46"/>
  <c r="R23" i="46"/>
  <c r="T23" i="46"/>
  <c r="Q23" i="46" s="1"/>
  <c r="W23" i="46"/>
  <c r="U23" i="46" s="1"/>
  <c r="V23" i="46"/>
  <c r="Z23" i="46"/>
  <c r="S24" i="46"/>
  <c r="R24" i="46"/>
  <c r="T24" i="46"/>
  <c r="Q24" i="46" s="1"/>
  <c r="W24" i="46"/>
  <c r="U24" i="46" s="1"/>
  <c r="V24" i="46"/>
  <c r="Z24" i="46"/>
  <c r="S25" i="46"/>
  <c r="R25" i="46"/>
  <c r="T25" i="46"/>
  <c r="Q25" i="46" s="1"/>
  <c r="W25" i="46"/>
  <c r="U25" i="46" s="1"/>
  <c r="V25" i="46"/>
  <c r="Z25" i="46"/>
  <c r="S26" i="46"/>
  <c r="R26" i="46"/>
  <c r="T26" i="46"/>
  <c r="Q26" i="46" s="1"/>
  <c r="W26" i="46"/>
  <c r="U26" i="46" s="1"/>
  <c r="V26" i="46"/>
  <c r="Z26" i="46"/>
  <c r="S27" i="46"/>
  <c r="R27" i="46"/>
  <c r="T27" i="46"/>
  <c r="Q27" i="46" s="1"/>
  <c r="W27" i="46"/>
  <c r="U27" i="46" s="1"/>
  <c r="V27" i="46"/>
  <c r="Z27" i="46"/>
  <c r="S28" i="46"/>
  <c r="R28" i="46"/>
  <c r="T28" i="46"/>
  <c r="Q28" i="46" s="1"/>
  <c r="W28" i="46"/>
  <c r="U28" i="46" s="1"/>
  <c r="V28" i="46"/>
  <c r="Z28" i="46"/>
  <c r="S29" i="46"/>
  <c r="R29" i="46"/>
  <c r="T29" i="46"/>
  <c r="Q29" i="46" s="1"/>
  <c r="W29" i="46"/>
  <c r="U29" i="46" s="1"/>
  <c r="V29" i="46"/>
  <c r="Z29" i="46"/>
  <c r="S30" i="46"/>
  <c r="R30" i="46"/>
  <c r="T30" i="46"/>
  <c r="Q30" i="46" s="1"/>
  <c r="W30" i="46"/>
  <c r="U30" i="46" s="1"/>
  <c r="V30" i="46"/>
  <c r="Z30" i="46"/>
  <c r="S31" i="46"/>
  <c r="R31" i="46"/>
  <c r="T31" i="46"/>
  <c r="Q31" i="46" s="1"/>
  <c r="W31" i="46"/>
  <c r="U31" i="46" s="1"/>
  <c r="V31" i="46"/>
  <c r="Z31" i="46"/>
  <c r="S32" i="46"/>
  <c r="R32" i="46"/>
  <c r="T32" i="46"/>
  <c r="Q32" i="46" s="1"/>
  <c r="W32" i="46"/>
  <c r="U32" i="46" s="1"/>
  <c r="V32" i="46"/>
  <c r="Z32" i="46"/>
  <c r="S33" i="46"/>
  <c r="R33" i="46"/>
  <c r="T33" i="46"/>
  <c r="Q33" i="46" s="1"/>
  <c r="W33" i="46"/>
  <c r="U33" i="46" s="1"/>
  <c r="V33" i="46"/>
  <c r="Z33" i="46"/>
  <c r="S34" i="46"/>
  <c r="R34" i="46"/>
  <c r="T34" i="46"/>
  <c r="Q34" i="46" s="1"/>
  <c r="W34" i="46"/>
  <c r="U34" i="46" s="1"/>
  <c r="V34" i="46"/>
  <c r="Z34" i="46"/>
  <c r="S35" i="46"/>
  <c r="R35" i="46"/>
  <c r="T35" i="46"/>
  <c r="Q35" i="46" s="1"/>
  <c r="W35" i="46"/>
  <c r="U35" i="46" s="1"/>
  <c r="V35" i="46"/>
  <c r="Z35" i="46"/>
  <c r="S36" i="46"/>
  <c r="R36" i="46"/>
  <c r="T36" i="46"/>
  <c r="Q36" i="46" s="1"/>
  <c r="W36" i="46"/>
  <c r="U36" i="46" s="1"/>
  <c r="V36" i="46"/>
  <c r="Z36" i="46"/>
  <c r="S37" i="46"/>
  <c r="R37" i="46"/>
  <c r="T37" i="46"/>
  <c r="Q37" i="46" s="1"/>
  <c r="W37" i="46"/>
  <c r="U37" i="46"/>
  <c r="V37" i="46"/>
  <c r="Z37" i="46"/>
  <c r="S38" i="46"/>
  <c r="R38" i="46"/>
  <c r="T38" i="46"/>
  <c r="Q38" i="46" s="1"/>
  <c r="W38" i="46"/>
  <c r="U38" i="46" s="1"/>
  <c r="V38" i="46"/>
  <c r="Z38" i="46"/>
  <c r="S39" i="46"/>
  <c r="R39" i="46"/>
  <c r="T39" i="46"/>
  <c r="Q39" i="46" s="1"/>
  <c r="W39" i="46"/>
  <c r="U39" i="46" s="1"/>
  <c r="V39" i="46"/>
  <c r="Z39" i="46"/>
  <c r="S40" i="46"/>
  <c r="R40" i="46"/>
  <c r="T40" i="46"/>
  <c r="Q40" i="46" s="1"/>
  <c r="W40" i="46"/>
  <c r="U40" i="46" s="1"/>
  <c r="V40" i="46"/>
  <c r="Z40" i="46"/>
  <c r="S41" i="46"/>
  <c r="R41" i="46"/>
  <c r="T41" i="46"/>
  <c r="Q41" i="46" s="1"/>
  <c r="W41" i="46"/>
  <c r="U41" i="46" s="1"/>
  <c r="V41" i="46"/>
  <c r="Z41" i="46"/>
  <c r="S42" i="46"/>
  <c r="R42" i="46"/>
  <c r="T42" i="46"/>
  <c r="Q42" i="46" s="1"/>
  <c r="W42" i="46"/>
  <c r="U42" i="46" s="1"/>
  <c r="V42" i="46"/>
  <c r="Z42" i="46"/>
  <c r="S43" i="46"/>
  <c r="R43" i="46"/>
  <c r="T43" i="46"/>
  <c r="Q43" i="46" s="1"/>
  <c r="W43" i="46"/>
  <c r="U43" i="46" s="1"/>
  <c r="V43" i="46"/>
  <c r="Z43" i="46"/>
  <c r="S44" i="46"/>
  <c r="R44" i="46"/>
  <c r="T44" i="46"/>
  <c r="Q44" i="46" s="1"/>
  <c r="W44" i="46"/>
  <c r="U44" i="46" s="1"/>
  <c r="V44" i="46"/>
  <c r="Z44" i="46"/>
  <c r="S45" i="46"/>
  <c r="R45" i="46"/>
  <c r="T45" i="46"/>
  <c r="Q45" i="46" s="1"/>
  <c r="W45" i="46"/>
  <c r="U45" i="46"/>
  <c r="V45" i="46"/>
  <c r="Z45" i="46"/>
  <c r="S46" i="46"/>
  <c r="R46" i="46"/>
  <c r="T46" i="46"/>
  <c r="Q46" i="46" s="1"/>
  <c r="W46" i="46"/>
  <c r="U46" i="46" s="1"/>
  <c r="V46" i="46"/>
  <c r="Z46" i="46"/>
  <c r="S47" i="46"/>
  <c r="R47" i="46"/>
  <c r="T47" i="46"/>
  <c r="Q47" i="46" s="1"/>
  <c r="W47" i="46"/>
  <c r="U47" i="46" s="1"/>
  <c r="V47" i="46"/>
  <c r="Z47" i="46"/>
  <c r="S48" i="46"/>
  <c r="R48" i="46"/>
  <c r="T48" i="46"/>
  <c r="Q48" i="46" s="1"/>
  <c r="W48" i="46"/>
  <c r="U48" i="46" s="1"/>
  <c r="V48" i="46"/>
  <c r="Z48" i="46"/>
  <c r="S49" i="46"/>
  <c r="R49" i="46"/>
  <c r="T49" i="46"/>
  <c r="Q49" i="46" s="1"/>
  <c r="W49" i="46"/>
  <c r="U49" i="46" s="1"/>
  <c r="V49" i="46"/>
  <c r="Z49" i="46"/>
  <c r="S50" i="46"/>
  <c r="R50" i="46"/>
  <c r="T50" i="46"/>
  <c r="Q50" i="46" s="1"/>
  <c r="W50" i="46"/>
  <c r="U50" i="46" s="1"/>
  <c r="V50" i="46"/>
  <c r="Z50" i="46"/>
  <c r="S51" i="46"/>
  <c r="R51" i="46"/>
  <c r="T51" i="46"/>
  <c r="Q51" i="46" s="1"/>
  <c r="W51" i="46"/>
  <c r="U51" i="46" s="1"/>
  <c r="V51" i="46"/>
  <c r="Z51" i="46"/>
  <c r="S52" i="46"/>
  <c r="R52" i="46"/>
  <c r="T52" i="46"/>
  <c r="Q52" i="46" s="1"/>
  <c r="W52" i="46"/>
  <c r="U52" i="46" s="1"/>
  <c r="V52" i="46"/>
  <c r="Z52" i="46"/>
  <c r="S53" i="46"/>
  <c r="R53" i="46"/>
  <c r="T53" i="46"/>
  <c r="Q53" i="46" s="1"/>
  <c r="W53" i="46"/>
  <c r="U53" i="46" s="1"/>
  <c r="V53" i="46"/>
  <c r="Z53" i="46"/>
  <c r="S54" i="46"/>
  <c r="R54" i="46"/>
  <c r="T54" i="46"/>
  <c r="Q54" i="46" s="1"/>
  <c r="W54" i="46"/>
  <c r="U54" i="46" s="1"/>
  <c r="V54" i="46"/>
  <c r="Z54" i="46"/>
  <c r="S55" i="46"/>
  <c r="R55" i="46"/>
  <c r="T55" i="46"/>
  <c r="Q55" i="46" s="1"/>
  <c r="W55" i="46"/>
  <c r="U55" i="46" s="1"/>
  <c r="V55" i="46"/>
  <c r="Z55" i="46"/>
  <c r="S56" i="46"/>
  <c r="R56" i="46"/>
  <c r="T56" i="46"/>
  <c r="Q56" i="46" s="1"/>
  <c r="W56" i="46"/>
  <c r="U56" i="46" s="1"/>
  <c r="V56" i="46"/>
  <c r="Z56" i="46"/>
  <c r="S57" i="46"/>
  <c r="R57" i="46"/>
  <c r="T57" i="46"/>
  <c r="Q57" i="46" s="1"/>
  <c r="W57" i="46"/>
  <c r="U57" i="46" s="1"/>
  <c r="V57" i="46"/>
  <c r="Z57" i="46"/>
  <c r="S58" i="46"/>
  <c r="R58" i="46"/>
  <c r="T58" i="46"/>
  <c r="Q58" i="46" s="1"/>
  <c r="W58" i="46"/>
  <c r="U58" i="46" s="1"/>
  <c r="V58" i="46"/>
  <c r="Z58" i="46"/>
  <c r="S59" i="46"/>
  <c r="R59" i="46"/>
  <c r="T59" i="46"/>
  <c r="Q59" i="46" s="1"/>
  <c r="W59" i="46"/>
  <c r="U59" i="46" s="1"/>
  <c r="V59" i="46"/>
  <c r="Z59" i="46"/>
  <c r="S60" i="46"/>
  <c r="R60" i="46"/>
  <c r="T60" i="46"/>
  <c r="Q60" i="46" s="1"/>
  <c r="W60" i="46"/>
  <c r="U60" i="46" s="1"/>
  <c r="V60" i="46"/>
  <c r="Z60" i="46"/>
  <c r="S61" i="46"/>
  <c r="R61" i="46"/>
  <c r="T61" i="46"/>
  <c r="Q61" i="46" s="1"/>
  <c r="W61" i="46"/>
  <c r="U61" i="46" s="1"/>
  <c r="V61" i="46"/>
  <c r="Z61" i="46"/>
  <c r="S62" i="46"/>
  <c r="R62" i="46"/>
  <c r="T62" i="46"/>
  <c r="Q62" i="46" s="1"/>
  <c r="W62" i="46"/>
  <c r="U62" i="46" s="1"/>
  <c r="V62" i="46"/>
  <c r="Z62" i="46"/>
  <c r="S63" i="46"/>
  <c r="R63" i="46"/>
  <c r="T63" i="46"/>
  <c r="Q63" i="46" s="1"/>
  <c r="W63" i="46"/>
  <c r="U63" i="46" s="1"/>
  <c r="V63" i="46"/>
  <c r="Z63" i="46"/>
  <c r="S64" i="46"/>
  <c r="R64" i="46"/>
  <c r="T64" i="46"/>
  <c r="Q64" i="46" s="1"/>
  <c r="W64" i="46"/>
  <c r="U64" i="46" s="1"/>
  <c r="V64" i="46"/>
  <c r="Z64" i="46"/>
  <c r="S65" i="46"/>
  <c r="R65" i="46"/>
  <c r="T65" i="46"/>
  <c r="Q65" i="46" s="1"/>
  <c r="W65" i="46"/>
  <c r="U65" i="46" s="1"/>
  <c r="V65" i="46"/>
  <c r="Z65" i="46"/>
  <c r="S66" i="46"/>
  <c r="R66" i="46"/>
  <c r="T66" i="46"/>
  <c r="Q66" i="46" s="1"/>
  <c r="W66" i="46"/>
  <c r="U66" i="46"/>
  <c r="V66" i="46"/>
  <c r="Z66" i="46"/>
  <c r="K488" i="39"/>
  <c r="K489" i="39"/>
  <c r="K490" i="39"/>
  <c r="K491" i="39"/>
  <c r="K492" i="39"/>
  <c r="K493" i="39"/>
  <c r="K487" i="39"/>
  <c r="L487" i="39"/>
  <c r="L488" i="39"/>
  <c r="L489" i="39"/>
  <c r="L490" i="39"/>
  <c r="L491" i="39"/>
  <c r="L492" i="39"/>
  <c r="L493" i="39"/>
  <c r="C488" i="39"/>
  <c r="C489" i="39"/>
  <c r="C487" i="39"/>
  <c r="B487" i="39"/>
  <c r="B488" i="39"/>
  <c r="B489" i="39"/>
  <c r="F217" i="39"/>
  <c r="F493" i="39" s="1"/>
  <c r="F215" i="39"/>
  <c r="F491" i="39" s="1"/>
  <c r="F216" i="39"/>
  <c r="F492" i="39" s="1"/>
  <c r="F214" i="39"/>
  <c r="F490" i="39" s="1"/>
  <c r="E215" i="39"/>
  <c r="E491" i="39" s="1"/>
  <c r="E216" i="39"/>
  <c r="E217" i="39"/>
  <c r="E493" i="39" s="1"/>
  <c r="E214" i="39"/>
  <c r="I17" i="49" s="1"/>
  <c r="N17" i="49" s="1"/>
  <c r="D214" i="39"/>
  <c r="D490" i="39" s="1"/>
  <c r="D215" i="39"/>
  <c r="D491" i="39" s="1"/>
  <c r="D216" i="39"/>
  <c r="D492" i="39" s="1"/>
  <c r="D217" i="39"/>
  <c r="D493" i="39" s="1"/>
  <c r="H17" i="49"/>
  <c r="M17" i="49" s="1"/>
  <c r="B491" i="39"/>
  <c r="B492" i="39"/>
  <c r="B493" i="39"/>
  <c r="B490" i="39"/>
  <c r="L51" i="44"/>
  <c r="L38" i="44"/>
  <c r="S22" i="45"/>
  <c r="T22" i="45"/>
  <c r="U22" i="45"/>
  <c r="V22" i="45"/>
  <c r="W22" i="45"/>
  <c r="S23" i="45"/>
  <c r="T23" i="45"/>
  <c r="U23" i="45"/>
  <c r="V23" i="45"/>
  <c r="W23" i="45"/>
  <c r="S24" i="45"/>
  <c r="T24" i="45"/>
  <c r="U24" i="45"/>
  <c r="V24" i="45"/>
  <c r="W24" i="45"/>
  <c r="S25" i="45"/>
  <c r="T25" i="45"/>
  <c r="U25" i="45"/>
  <c r="V25" i="45"/>
  <c r="W25" i="45"/>
  <c r="S26" i="45"/>
  <c r="T26" i="45"/>
  <c r="U26" i="45"/>
  <c r="V26" i="45"/>
  <c r="W26" i="45"/>
  <c r="S27" i="45"/>
  <c r="T27" i="45"/>
  <c r="U27" i="45"/>
  <c r="V27" i="45"/>
  <c r="W27" i="45"/>
  <c r="S28" i="45"/>
  <c r="T28" i="45"/>
  <c r="U28" i="45"/>
  <c r="V28" i="45"/>
  <c r="W28" i="45"/>
  <c r="S29" i="45"/>
  <c r="T29" i="45"/>
  <c r="U29" i="45"/>
  <c r="V29" i="45"/>
  <c r="W29" i="45"/>
  <c r="S30" i="45"/>
  <c r="T30" i="45"/>
  <c r="U30" i="45"/>
  <c r="V30" i="45"/>
  <c r="W30" i="45"/>
  <c r="S31" i="45"/>
  <c r="T31" i="45"/>
  <c r="U31" i="45"/>
  <c r="V31" i="45"/>
  <c r="W31" i="45"/>
  <c r="S32" i="45"/>
  <c r="T32" i="45"/>
  <c r="U32" i="45"/>
  <c r="V32" i="45"/>
  <c r="W32" i="45"/>
  <c r="S33" i="45"/>
  <c r="T33" i="45"/>
  <c r="U33" i="45"/>
  <c r="V33" i="45"/>
  <c r="W33" i="45"/>
  <c r="S34" i="45"/>
  <c r="T34" i="45"/>
  <c r="U34" i="45"/>
  <c r="V34" i="45"/>
  <c r="W34" i="45"/>
  <c r="S35" i="45"/>
  <c r="T35" i="45"/>
  <c r="U35" i="45"/>
  <c r="V35" i="45"/>
  <c r="W35" i="45"/>
  <c r="S36" i="45"/>
  <c r="T36" i="45"/>
  <c r="U36" i="45"/>
  <c r="V36" i="45"/>
  <c r="W36" i="45"/>
  <c r="S37" i="45"/>
  <c r="T37" i="45"/>
  <c r="U37" i="45"/>
  <c r="V37" i="45"/>
  <c r="W37" i="45"/>
  <c r="S38" i="45"/>
  <c r="T38" i="45"/>
  <c r="U38" i="45"/>
  <c r="V38" i="45"/>
  <c r="W38" i="45"/>
  <c r="S39" i="45"/>
  <c r="T39" i="45"/>
  <c r="U39" i="45"/>
  <c r="V39" i="45"/>
  <c r="W39" i="45"/>
  <c r="S40" i="45"/>
  <c r="T40" i="45"/>
  <c r="U40" i="45"/>
  <c r="V40" i="45"/>
  <c r="W40" i="45"/>
  <c r="S41" i="45"/>
  <c r="T41" i="45"/>
  <c r="U41" i="45"/>
  <c r="V41" i="45"/>
  <c r="W41" i="45"/>
  <c r="S42" i="45"/>
  <c r="T42" i="45"/>
  <c r="U42" i="45"/>
  <c r="V42" i="45"/>
  <c r="W42" i="45"/>
  <c r="S43" i="45"/>
  <c r="T43" i="45"/>
  <c r="U43" i="45"/>
  <c r="V43" i="45"/>
  <c r="W43" i="45"/>
  <c r="S44" i="45"/>
  <c r="T44" i="45"/>
  <c r="U44" i="45"/>
  <c r="V44" i="45"/>
  <c r="W44" i="45"/>
  <c r="S45" i="45"/>
  <c r="T45" i="45"/>
  <c r="U45" i="45"/>
  <c r="V45" i="45"/>
  <c r="W45" i="45"/>
  <c r="C14" i="55"/>
  <c r="O13" i="50"/>
  <c r="C259" i="39"/>
  <c r="C261" i="39" s="1"/>
  <c r="I43" i="55"/>
  <c r="J43" i="55" s="1"/>
  <c r="AA43" i="55"/>
  <c r="D11" i="49"/>
  <c r="M28" i="55"/>
  <c r="O28" i="55" s="1"/>
  <c r="M29" i="55"/>
  <c r="R29" i="55" s="1"/>
  <c r="M30" i="55"/>
  <c r="O30" i="55" s="1"/>
  <c r="M31" i="55"/>
  <c r="O31" i="55" s="1"/>
  <c r="M32" i="55"/>
  <c r="N32" i="55" s="1"/>
  <c r="M33" i="55"/>
  <c r="P33" i="55" s="1"/>
  <c r="M34" i="55"/>
  <c r="P34" i="55" s="1"/>
  <c r="M35" i="55"/>
  <c r="Q35" i="55" s="1"/>
  <c r="M36" i="55"/>
  <c r="R36" i="55" s="1"/>
  <c r="M37" i="55"/>
  <c r="O37" i="55" s="1"/>
  <c r="M38" i="55"/>
  <c r="M39" i="55"/>
  <c r="P39" i="55" s="1"/>
  <c r="M40" i="55"/>
  <c r="Q40" i="55" s="1"/>
  <c r="M41" i="55"/>
  <c r="R41" i="55" s="1"/>
  <c r="M42" i="55"/>
  <c r="O42" i="55" s="1"/>
  <c r="M43" i="55"/>
  <c r="P43" i="55" s="1"/>
  <c r="M44" i="55"/>
  <c r="R44" i="55" s="1"/>
  <c r="M45" i="55"/>
  <c r="R45" i="55" s="1"/>
  <c r="M46" i="55"/>
  <c r="N46" i="55" s="1"/>
  <c r="M27" i="55"/>
  <c r="R27" i="55" s="1"/>
  <c r="R38" i="55"/>
  <c r="C345" i="39"/>
  <c r="K28" i="55"/>
  <c r="K29" i="55"/>
  <c r="K30" i="55"/>
  <c r="K31" i="55"/>
  <c r="K32" i="55"/>
  <c r="K33" i="55"/>
  <c r="K34" i="55"/>
  <c r="K35" i="55"/>
  <c r="K36" i="55"/>
  <c r="K37" i="55"/>
  <c r="K38" i="55"/>
  <c r="K39" i="55"/>
  <c r="K40" i="55"/>
  <c r="K41" i="55"/>
  <c r="K42" i="55"/>
  <c r="I42" i="55"/>
  <c r="J42" i="55" s="1"/>
  <c r="K43" i="55"/>
  <c r="K44" i="55"/>
  <c r="I44" i="55"/>
  <c r="J44" i="55" s="1"/>
  <c r="K45" i="55"/>
  <c r="K46" i="55"/>
  <c r="I46" i="55"/>
  <c r="J46" i="55" s="1"/>
  <c r="C358" i="39"/>
  <c r="K27" i="55" s="1"/>
  <c r="O19" i="50"/>
  <c r="O20" i="50"/>
  <c r="O21" i="50"/>
  <c r="O22" i="50"/>
  <c r="O23" i="50"/>
  <c r="J18" i="49"/>
  <c r="O18" i="49" s="1"/>
  <c r="J19" i="49"/>
  <c r="O19" i="49" s="1"/>
  <c r="J20" i="49"/>
  <c r="O20" i="49" s="1"/>
  <c r="J21" i="49"/>
  <c r="O21" i="49" s="1"/>
  <c r="J22" i="49"/>
  <c r="O22" i="49" s="1"/>
  <c r="J23" i="49"/>
  <c r="O23" i="49" s="1"/>
  <c r="J24" i="49"/>
  <c r="O24" i="49" s="1"/>
  <c r="J25" i="49"/>
  <c r="O25" i="49" s="1"/>
  <c r="J26" i="49"/>
  <c r="O26" i="49" s="1"/>
  <c r="J27" i="49"/>
  <c r="O27" i="49" s="1"/>
  <c r="J28" i="49"/>
  <c r="O28" i="49" s="1"/>
  <c r="J29" i="49"/>
  <c r="O29" i="49" s="1"/>
  <c r="J30" i="49"/>
  <c r="O30" i="49" s="1"/>
  <c r="J31" i="49"/>
  <c r="O31" i="49" s="1"/>
  <c r="J32" i="49"/>
  <c r="O32" i="49" s="1"/>
  <c r="J33" i="49"/>
  <c r="O33" i="49" s="1"/>
  <c r="J34" i="49"/>
  <c r="O34" i="49" s="1"/>
  <c r="J35" i="49"/>
  <c r="O35" i="49" s="1"/>
  <c r="J36" i="49"/>
  <c r="O36" i="49" s="1"/>
  <c r="J37" i="49"/>
  <c r="O37" i="49" s="1"/>
  <c r="J38" i="49"/>
  <c r="O38" i="49" s="1"/>
  <c r="J39" i="49"/>
  <c r="O39" i="49" s="1"/>
  <c r="J40" i="49"/>
  <c r="O40" i="49" s="1"/>
  <c r="J41" i="49"/>
  <c r="O41" i="49" s="1"/>
  <c r="J42" i="49"/>
  <c r="O42" i="49" s="1"/>
  <c r="J43" i="49"/>
  <c r="O43" i="49" s="1"/>
  <c r="J44" i="49"/>
  <c r="O44" i="49" s="1"/>
  <c r="J45" i="49"/>
  <c r="O45" i="49" s="1"/>
  <c r="J46" i="49"/>
  <c r="O46" i="49" s="1"/>
  <c r="J47" i="49"/>
  <c r="O47" i="49" s="1"/>
  <c r="J48" i="49"/>
  <c r="O48" i="49" s="1"/>
  <c r="J49" i="49"/>
  <c r="O49" i="49" s="1"/>
  <c r="J50" i="49"/>
  <c r="O50" i="49" s="1"/>
  <c r="J51" i="49"/>
  <c r="O51" i="49" s="1"/>
  <c r="J52" i="49"/>
  <c r="O52" i="49" s="1"/>
  <c r="J53" i="49"/>
  <c r="O53" i="49" s="1"/>
  <c r="J54" i="49"/>
  <c r="O54" i="49" s="1"/>
  <c r="J55" i="49"/>
  <c r="O55" i="49" s="1"/>
  <c r="J56" i="49"/>
  <c r="O56" i="49" s="1"/>
  <c r="J57" i="49"/>
  <c r="O57" i="49" s="1"/>
  <c r="J58" i="49"/>
  <c r="O58" i="49" s="1"/>
  <c r="J59" i="49"/>
  <c r="O59" i="49" s="1"/>
  <c r="J60" i="49"/>
  <c r="O60" i="49" s="1"/>
  <c r="J61" i="49"/>
  <c r="O61" i="49" s="1"/>
  <c r="J62" i="49"/>
  <c r="O62" i="49" s="1"/>
  <c r="J63" i="49"/>
  <c r="O63" i="49" s="1"/>
  <c r="J64" i="49"/>
  <c r="O64" i="49" s="1"/>
  <c r="J65" i="49"/>
  <c r="O65" i="49" s="1"/>
  <c r="J66" i="49"/>
  <c r="O66" i="49" s="1"/>
  <c r="J67" i="49"/>
  <c r="O67" i="49" s="1"/>
  <c r="J68" i="49"/>
  <c r="O68" i="49" s="1"/>
  <c r="I18" i="49"/>
  <c r="N18" i="49" s="1"/>
  <c r="I19" i="49"/>
  <c r="N19" i="49" s="1"/>
  <c r="I20" i="49"/>
  <c r="N20" i="49" s="1"/>
  <c r="I21" i="49"/>
  <c r="N21" i="49" s="1"/>
  <c r="I22" i="49"/>
  <c r="N22" i="49" s="1"/>
  <c r="I23" i="49"/>
  <c r="N23" i="49" s="1"/>
  <c r="I24" i="49"/>
  <c r="N24" i="49" s="1"/>
  <c r="I25" i="49"/>
  <c r="N25" i="49" s="1"/>
  <c r="I26" i="49"/>
  <c r="N26" i="49" s="1"/>
  <c r="I27" i="49"/>
  <c r="N27" i="49" s="1"/>
  <c r="I28" i="49"/>
  <c r="N28" i="49" s="1"/>
  <c r="I29" i="49"/>
  <c r="N29" i="49" s="1"/>
  <c r="I30" i="49"/>
  <c r="N30" i="49" s="1"/>
  <c r="I31" i="49"/>
  <c r="N31" i="49" s="1"/>
  <c r="I32" i="49"/>
  <c r="N32" i="49" s="1"/>
  <c r="I33" i="49"/>
  <c r="N33" i="49" s="1"/>
  <c r="I34" i="49"/>
  <c r="N34" i="49" s="1"/>
  <c r="I35" i="49"/>
  <c r="N35" i="49" s="1"/>
  <c r="I36" i="49"/>
  <c r="N36" i="49" s="1"/>
  <c r="I37" i="49"/>
  <c r="N37" i="49" s="1"/>
  <c r="I38" i="49"/>
  <c r="N38" i="49" s="1"/>
  <c r="I39" i="49"/>
  <c r="N39" i="49" s="1"/>
  <c r="I40" i="49"/>
  <c r="N40" i="49" s="1"/>
  <c r="I41" i="49"/>
  <c r="N41" i="49" s="1"/>
  <c r="I42" i="49"/>
  <c r="N42" i="49" s="1"/>
  <c r="I43" i="49"/>
  <c r="N43" i="49" s="1"/>
  <c r="I44" i="49"/>
  <c r="N44" i="49" s="1"/>
  <c r="I45" i="49"/>
  <c r="N45" i="49" s="1"/>
  <c r="I46" i="49"/>
  <c r="N46" i="49" s="1"/>
  <c r="I47" i="49"/>
  <c r="N47" i="49" s="1"/>
  <c r="I48" i="49"/>
  <c r="N48" i="49" s="1"/>
  <c r="I49" i="49"/>
  <c r="N49" i="49" s="1"/>
  <c r="I50" i="49"/>
  <c r="N50" i="49" s="1"/>
  <c r="I51" i="49"/>
  <c r="N51" i="49" s="1"/>
  <c r="I52" i="49"/>
  <c r="N52" i="49" s="1"/>
  <c r="I53" i="49"/>
  <c r="N53" i="49" s="1"/>
  <c r="I54" i="49"/>
  <c r="N54" i="49" s="1"/>
  <c r="I55" i="49"/>
  <c r="N55" i="49" s="1"/>
  <c r="I56" i="49"/>
  <c r="N56" i="49" s="1"/>
  <c r="I57" i="49"/>
  <c r="N57" i="49" s="1"/>
  <c r="I58" i="49"/>
  <c r="N58" i="49" s="1"/>
  <c r="I59" i="49"/>
  <c r="N59" i="49" s="1"/>
  <c r="I60" i="49"/>
  <c r="N60" i="49" s="1"/>
  <c r="I61" i="49"/>
  <c r="N61" i="49" s="1"/>
  <c r="I62" i="49"/>
  <c r="N62" i="49" s="1"/>
  <c r="I63" i="49"/>
  <c r="N63" i="49" s="1"/>
  <c r="I64" i="49"/>
  <c r="N64" i="49" s="1"/>
  <c r="I65" i="49"/>
  <c r="N65" i="49" s="1"/>
  <c r="I66" i="49"/>
  <c r="N66" i="49" s="1"/>
  <c r="I67" i="49"/>
  <c r="N67" i="49" s="1"/>
  <c r="I68" i="49"/>
  <c r="N68" i="49" s="1"/>
  <c r="H18" i="49"/>
  <c r="M18" i="49" s="1"/>
  <c r="H19" i="49"/>
  <c r="M19" i="49" s="1"/>
  <c r="H20" i="49"/>
  <c r="M20" i="49" s="1"/>
  <c r="H21" i="49"/>
  <c r="M21" i="49" s="1"/>
  <c r="H22" i="49"/>
  <c r="M22" i="49" s="1"/>
  <c r="H23" i="49"/>
  <c r="M23" i="49" s="1"/>
  <c r="H24" i="49"/>
  <c r="M24" i="49" s="1"/>
  <c r="H25" i="49"/>
  <c r="M25" i="49" s="1"/>
  <c r="H26" i="49"/>
  <c r="M26" i="49" s="1"/>
  <c r="H27" i="49"/>
  <c r="M27" i="49" s="1"/>
  <c r="H28" i="49"/>
  <c r="M28" i="49" s="1"/>
  <c r="H29" i="49"/>
  <c r="M29" i="49" s="1"/>
  <c r="H30" i="49"/>
  <c r="M30" i="49" s="1"/>
  <c r="H31" i="49"/>
  <c r="M31" i="49" s="1"/>
  <c r="H32" i="49"/>
  <c r="M32" i="49" s="1"/>
  <c r="H33" i="49"/>
  <c r="M33" i="49" s="1"/>
  <c r="H34" i="49"/>
  <c r="M34" i="49" s="1"/>
  <c r="H35" i="49"/>
  <c r="M35" i="49" s="1"/>
  <c r="H36" i="49"/>
  <c r="M36" i="49" s="1"/>
  <c r="H37" i="49"/>
  <c r="M37" i="49" s="1"/>
  <c r="H38" i="49"/>
  <c r="M38" i="49" s="1"/>
  <c r="H39" i="49"/>
  <c r="M39" i="49" s="1"/>
  <c r="H40" i="49"/>
  <c r="M40" i="49" s="1"/>
  <c r="H41" i="49"/>
  <c r="M41" i="49" s="1"/>
  <c r="H42" i="49"/>
  <c r="M42" i="49" s="1"/>
  <c r="H43" i="49"/>
  <c r="M43" i="49" s="1"/>
  <c r="H44" i="49"/>
  <c r="M44" i="49" s="1"/>
  <c r="H45" i="49"/>
  <c r="M45" i="49" s="1"/>
  <c r="H46" i="49"/>
  <c r="M46" i="49" s="1"/>
  <c r="H47" i="49"/>
  <c r="M47" i="49" s="1"/>
  <c r="H48" i="49"/>
  <c r="M48" i="49" s="1"/>
  <c r="H49" i="49"/>
  <c r="M49" i="49" s="1"/>
  <c r="H50" i="49"/>
  <c r="M50" i="49" s="1"/>
  <c r="H51" i="49"/>
  <c r="M51" i="49" s="1"/>
  <c r="H52" i="49"/>
  <c r="M52" i="49" s="1"/>
  <c r="H53" i="49"/>
  <c r="M53" i="49" s="1"/>
  <c r="H54" i="49"/>
  <c r="M54" i="49" s="1"/>
  <c r="H55" i="49"/>
  <c r="M55" i="49" s="1"/>
  <c r="H56" i="49"/>
  <c r="M56" i="49" s="1"/>
  <c r="H57" i="49"/>
  <c r="M57" i="49" s="1"/>
  <c r="H58" i="49"/>
  <c r="M58" i="49" s="1"/>
  <c r="H59" i="49"/>
  <c r="M59" i="49" s="1"/>
  <c r="H60" i="49"/>
  <c r="M60" i="49" s="1"/>
  <c r="H61" i="49"/>
  <c r="M61" i="49" s="1"/>
  <c r="H62" i="49"/>
  <c r="M62" i="49" s="1"/>
  <c r="H63" i="49"/>
  <c r="M63" i="49" s="1"/>
  <c r="H64" i="49"/>
  <c r="M64" i="49" s="1"/>
  <c r="H65" i="49"/>
  <c r="M65" i="49" s="1"/>
  <c r="H66" i="49"/>
  <c r="M66" i="49" s="1"/>
  <c r="H67" i="49"/>
  <c r="M67" i="49" s="1"/>
  <c r="H68" i="49"/>
  <c r="M68" i="49" s="1"/>
  <c r="R23" i="48"/>
  <c r="O23" i="48"/>
  <c r="R24" i="48"/>
  <c r="O24" i="48"/>
  <c r="R25" i="48"/>
  <c r="U25" i="48" s="1"/>
  <c r="O25" i="48"/>
  <c r="R26" i="48"/>
  <c r="O26" i="48"/>
  <c r="R27" i="48"/>
  <c r="R28" i="48"/>
  <c r="R29" i="48"/>
  <c r="O29" i="48"/>
  <c r="R30" i="48"/>
  <c r="O30" i="48"/>
  <c r="R31" i="48"/>
  <c r="R22" i="48"/>
  <c r="Q23" i="48"/>
  <c r="T23" i="48" s="1"/>
  <c r="Q24" i="48"/>
  <c r="T24" i="48" s="1"/>
  <c r="Q25" i="48"/>
  <c r="T25" i="48" s="1"/>
  <c r="Q26" i="48"/>
  <c r="T26" i="48" s="1"/>
  <c r="Q27" i="48"/>
  <c r="Q28" i="48"/>
  <c r="O28" i="48"/>
  <c r="Q29" i="48"/>
  <c r="T29" i="48" s="1"/>
  <c r="Q30" i="48"/>
  <c r="T30" i="48" s="1"/>
  <c r="Q31" i="48"/>
  <c r="O31" i="48"/>
  <c r="Q22" i="48"/>
  <c r="O22" i="48"/>
  <c r="P23" i="48"/>
  <c r="S23" i="48" s="1"/>
  <c r="P24" i="48"/>
  <c r="S24" i="48" s="1"/>
  <c r="P25" i="48"/>
  <c r="S25" i="48" s="1"/>
  <c r="P26" i="48"/>
  <c r="S26" i="48" s="1"/>
  <c r="P27" i="48"/>
  <c r="P28" i="48"/>
  <c r="S28" i="48" s="1"/>
  <c r="P29" i="48"/>
  <c r="S29" i="48" s="1"/>
  <c r="P30" i="48"/>
  <c r="S30" i="48" s="1"/>
  <c r="P31" i="48"/>
  <c r="S31" i="48" s="1"/>
  <c r="P22" i="48"/>
  <c r="Q11" i="45"/>
  <c r="S21" i="45"/>
  <c r="T10" i="43"/>
  <c r="V10" i="43"/>
  <c r="V17" i="43"/>
  <c r="Q17" i="43"/>
  <c r="W12" i="45"/>
  <c r="V12" i="45"/>
  <c r="U12" i="45"/>
  <c r="T12" i="45"/>
  <c r="S12" i="45"/>
  <c r="I27" i="55"/>
  <c r="C27" i="55" s="1"/>
  <c r="Y27" i="55"/>
  <c r="I28" i="55"/>
  <c r="I29" i="55"/>
  <c r="I30" i="55"/>
  <c r="AA30" i="55"/>
  <c r="I31" i="55"/>
  <c r="I32" i="55"/>
  <c r="I33" i="55"/>
  <c r="Y33" i="55"/>
  <c r="I35" i="55"/>
  <c r="AA35" i="55"/>
  <c r="I36" i="55"/>
  <c r="Y36" i="55"/>
  <c r="I34" i="55"/>
  <c r="Y34" i="55"/>
  <c r="I38" i="55"/>
  <c r="J38" i="55" s="1"/>
  <c r="I39" i="55"/>
  <c r="J39" i="55" s="1"/>
  <c r="I40" i="55"/>
  <c r="J40" i="55" s="1"/>
  <c r="I41" i="55"/>
  <c r="J41" i="55" s="1"/>
  <c r="I45" i="55"/>
  <c r="J45" i="55" s="1"/>
  <c r="I37" i="55"/>
  <c r="J37" i="55" s="1"/>
  <c r="Y37" i="55"/>
  <c r="AA46" i="55"/>
  <c r="Y46" i="55"/>
  <c r="AA45" i="55"/>
  <c r="Y45" i="55"/>
  <c r="AA44" i="55"/>
  <c r="Y44" i="55"/>
  <c r="Y43" i="55"/>
  <c r="AA42" i="55"/>
  <c r="Y42" i="55"/>
  <c r="AA36" i="55"/>
  <c r="AA37" i="55"/>
  <c r="AA38" i="55"/>
  <c r="Y38" i="55"/>
  <c r="AA39" i="55"/>
  <c r="Y39" i="55"/>
  <c r="AA40" i="55"/>
  <c r="Y40" i="55"/>
  <c r="Y35" i="55"/>
  <c r="AA34" i="55"/>
  <c r="AA33" i="55"/>
  <c r="AA32" i="55"/>
  <c r="Y32" i="55"/>
  <c r="Y28" i="55"/>
  <c r="AA28" i="55"/>
  <c r="Y29" i="55"/>
  <c r="AA29" i="55"/>
  <c r="Y30" i="55"/>
  <c r="Y31" i="55"/>
  <c r="AA31" i="55"/>
  <c r="Y41" i="55"/>
  <c r="AA41" i="55"/>
  <c r="P20" i="50"/>
  <c r="Q20" i="50" s="1"/>
  <c r="AA27" i="55"/>
  <c r="H45" i="39"/>
  <c r="R19" i="43" s="1"/>
  <c r="W19" i="43" s="1"/>
  <c r="J38" i="39"/>
  <c r="I38" i="39"/>
  <c r="D64" i="39"/>
  <c r="E64" i="39" s="1"/>
  <c r="U21" i="45"/>
  <c r="T21" i="45"/>
  <c r="D65" i="39"/>
  <c r="E65" i="39" s="1"/>
  <c r="D66" i="39"/>
  <c r="E66" i="39" s="1"/>
  <c r="D67" i="39"/>
  <c r="E67" i="39" s="1"/>
  <c r="C19" i="39"/>
  <c r="C20" i="39" s="1"/>
  <c r="G45" i="39"/>
  <c r="J45" i="39" s="1"/>
  <c r="F45" i="39"/>
  <c r="I45" i="39" s="1"/>
  <c r="S19" i="43" s="1"/>
  <c r="X19" i="43" s="1"/>
  <c r="V21" i="45"/>
  <c r="W21" i="45"/>
  <c r="I47" i="39"/>
  <c r="P21" i="50"/>
  <c r="Q21" i="50" s="1"/>
  <c r="L67" i="49"/>
  <c r="K67" i="49"/>
  <c r="L66" i="49"/>
  <c r="K66" i="49"/>
  <c r="L65" i="49"/>
  <c r="K65" i="49"/>
  <c r="L64" i="49"/>
  <c r="K64" i="49"/>
  <c r="L63" i="49"/>
  <c r="K63" i="49"/>
  <c r="L62" i="49"/>
  <c r="K62" i="49"/>
  <c r="L61" i="49"/>
  <c r="K61" i="49"/>
  <c r="L60" i="49"/>
  <c r="K60" i="49"/>
  <c r="L59" i="49"/>
  <c r="K59" i="49"/>
  <c r="L58" i="49"/>
  <c r="K58" i="49"/>
  <c r="L57" i="49"/>
  <c r="K57" i="49"/>
  <c r="L56" i="49"/>
  <c r="K56" i="49"/>
  <c r="L55" i="49"/>
  <c r="K55" i="49"/>
  <c r="L54" i="49"/>
  <c r="K54" i="49"/>
  <c r="L53" i="49"/>
  <c r="K53" i="49"/>
  <c r="L52" i="49"/>
  <c r="K52" i="49"/>
  <c r="L51" i="49"/>
  <c r="K51" i="49"/>
  <c r="L50" i="49"/>
  <c r="K50" i="49"/>
  <c r="L49" i="49"/>
  <c r="K49" i="49"/>
  <c r="L48" i="49"/>
  <c r="K48" i="49"/>
  <c r="L47" i="49"/>
  <c r="K47" i="49"/>
  <c r="L46" i="49"/>
  <c r="K46" i="49"/>
  <c r="L45" i="49"/>
  <c r="K45" i="49"/>
  <c r="L44" i="49"/>
  <c r="K44" i="49"/>
  <c r="L43" i="49"/>
  <c r="K43" i="49"/>
  <c r="L42" i="49"/>
  <c r="K42" i="49"/>
  <c r="L41" i="49"/>
  <c r="K41" i="49"/>
  <c r="L40" i="49"/>
  <c r="K40" i="49"/>
  <c r="L39" i="49"/>
  <c r="K39" i="49"/>
  <c r="L38" i="49"/>
  <c r="K38" i="49"/>
  <c r="L37" i="49"/>
  <c r="K37" i="49"/>
  <c r="L36" i="49"/>
  <c r="K36" i="49"/>
  <c r="L35" i="49"/>
  <c r="K35" i="49"/>
  <c r="L34" i="49"/>
  <c r="K34" i="49"/>
  <c r="L33" i="49"/>
  <c r="K33" i="49"/>
  <c r="L32" i="49"/>
  <c r="K32" i="49"/>
  <c r="L31" i="49"/>
  <c r="K31" i="49"/>
  <c r="L30" i="49"/>
  <c r="K30" i="49"/>
  <c r="L29" i="49"/>
  <c r="K29" i="49"/>
  <c r="L28" i="49"/>
  <c r="K28" i="49"/>
  <c r="L22" i="49"/>
  <c r="K22" i="49"/>
  <c r="L23" i="49"/>
  <c r="K23" i="49"/>
  <c r="P23" i="50"/>
  <c r="Q23" i="50" s="1"/>
  <c r="R23" i="50"/>
  <c r="P22" i="50"/>
  <c r="Q22" i="50" s="1"/>
  <c r="P19" i="50"/>
  <c r="Q19" i="50" s="1"/>
  <c r="P13" i="50"/>
  <c r="Q13" i="50" s="1"/>
  <c r="K18" i="49"/>
  <c r="L18" i="49"/>
  <c r="K19" i="49"/>
  <c r="L19" i="49"/>
  <c r="K20" i="49"/>
  <c r="L20" i="49"/>
  <c r="K21" i="49"/>
  <c r="L21" i="49"/>
  <c r="K24" i="49"/>
  <c r="L24" i="49"/>
  <c r="K25" i="49"/>
  <c r="L25" i="49"/>
  <c r="K26" i="49"/>
  <c r="L26" i="49"/>
  <c r="K27" i="49"/>
  <c r="L27" i="49"/>
  <c r="K68" i="49"/>
  <c r="L68" i="49"/>
  <c r="L17" i="49"/>
  <c r="K17" i="49"/>
  <c r="W23" i="48"/>
  <c r="W24" i="48"/>
  <c r="W25" i="48"/>
  <c r="W26" i="48"/>
  <c r="W27" i="48"/>
  <c r="W28" i="48"/>
  <c r="W29" i="48"/>
  <c r="W30" i="48"/>
  <c r="W31" i="48"/>
  <c r="W22" i="48"/>
  <c r="V23" i="48"/>
  <c r="V24" i="48"/>
  <c r="V25" i="48"/>
  <c r="V26" i="48"/>
  <c r="V27" i="48"/>
  <c r="V28" i="48"/>
  <c r="V29" i="48"/>
  <c r="V30" i="48"/>
  <c r="V31" i="48"/>
  <c r="V22" i="48"/>
  <c r="O27" i="48"/>
  <c r="L47" i="44"/>
  <c r="L45" i="44"/>
  <c r="L39" i="44"/>
  <c r="V32" i="43"/>
  <c r="T32" i="43"/>
  <c r="Q32" i="43"/>
  <c r="V31" i="43"/>
  <c r="T31" i="43"/>
  <c r="V30" i="43"/>
  <c r="T30" i="43"/>
  <c r="V26" i="43"/>
  <c r="T26" i="43"/>
  <c r="Q26" i="43"/>
  <c r="I32" i="39"/>
  <c r="I34" i="39"/>
  <c r="J32" i="39"/>
  <c r="J34" i="39"/>
  <c r="G38" i="39"/>
  <c r="F38" i="39"/>
  <c r="G32" i="39"/>
  <c r="F32" i="39"/>
  <c r="G34" i="39"/>
  <c r="F34" i="39"/>
  <c r="G48" i="39"/>
  <c r="G47" i="39"/>
  <c r="G46" i="39"/>
  <c r="G44" i="39"/>
  <c r="G43" i="39"/>
  <c r="G42" i="39"/>
  <c r="G40" i="39"/>
  <c r="G39" i="39"/>
  <c r="G37" i="39"/>
  <c r="G36" i="39"/>
  <c r="F48" i="39"/>
  <c r="F47" i="39"/>
  <c r="F46" i="39"/>
  <c r="F39" i="39"/>
  <c r="F40" i="39"/>
  <c r="F42" i="39"/>
  <c r="F43" i="39"/>
  <c r="F44" i="39"/>
  <c r="F36" i="39"/>
  <c r="G33" i="39"/>
  <c r="F33" i="39"/>
  <c r="J48" i="39"/>
  <c r="I48" i="39"/>
  <c r="I44" i="39"/>
  <c r="J44" i="39"/>
  <c r="J47" i="39"/>
  <c r="J46" i="39"/>
  <c r="I46" i="39"/>
  <c r="J43" i="39"/>
  <c r="I43" i="39"/>
  <c r="J42" i="39"/>
  <c r="Q27" i="44" s="1"/>
  <c r="R27" i="44" s="1"/>
  <c r="I42" i="39"/>
  <c r="O27" i="44" s="1"/>
  <c r="P27" i="44" s="1"/>
  <c r="J40" i="39"/>
  <c r="I40" i="39"/>
  <c r="J39" i="39"/>
  <c r="I39" i="39"/>
  <c r="J37" i="39"/>
  <c r="U35" i="43" s="1"/>
  <c r="I37" i="39"/>
  <c r="S35" i="43" s="1"/>
  <c r="J36" i="39"/>
  <c r="I36" i="39"/>
  <c r="J33" i="39"/>
  <c r="I33" i="39"/>
  <c r="Q39" i="55"/>
  <c r="Q45" i="55"/>
  <c r="Q46" i="55"/>
  <c r="Q38" i="55"/>
  <c r="N45" i="55"/>
  <c r="O39" i="55"/>
  <c r="L52" i="44"/>
  <c r="L44" i="44"/>
  <c r="L40" i="44"/>
  <c r="L42" i="44"/>
  <c r="N36" i="55"/>
  <c r="Q36" i="55"/>
  <c r="O36" i="55"/>
  <c r="P28" i="55"/>
  <c r="R28" i="55"/>
  <c r="Q28" i="55"/>
  <c r="L49" i="44"/>
  <c r="O40" i="55"/>
  <c r="O46" i="55"/>
  <c r="P46" i="55"/>
  <c r="L54" i="44"/>
  <c r="L50" i="44"/>
  <c r="R26" i="43"/>
  <c r="W26" i="43" s="1"/>
  <c r="L53" i="44"/>
  <c r="L48" i="44"/>
  <c r="L46" i="44"/>
  <c r="L43" i="44"/>
  <c r="P30" i="55"/>
  <c r="L41" i="44"/>
  <c r="P36" i="55"/>
  <c r="N42" i="55" l="1"/>
  <c r="P41" i="55"/>
  <c r="P45" i="55"/>
  <c r="O45" i="55"/>
  <c r="T45" i="55" s="1"/>
  <c r="Q41" i="55"/>
  <c r="N39" i="55"/>
  <c r="S39" i="55" s="1"/>
  <c r="N41" i="55"/>
  <c r="S41" i="55" s="1"/>
  <c r="R46" i="55"/>
  <c r="O43" i="55"/>
  <c r="T43" i="55" s="1"/>
  <c r="N29" i="55"/>
  <c r="S29" i="55" s="1"/>
  <c r="O34" i="55"/>
  <c r="T34" i="55" s="1"/>
  <c r="Q30" i="55"/>
  <c r="V30" i="55" s="1"/>
  <c r="Q43" i="55"/>
  <c r="V43" i="55" s="1"/>
  <c r="R30" i="55"/>
  <c r="N30" i="55"/>
  <c r="S30" i="55" s="1"/>
  <c r="O41" i="55"/>
  <c r="T41" i="55" s="1"/>
  <c r="R39" i="55"/>
  <c r="R43" i="55"/>
  <c r="X65" i="46"/>
  <c r="X60" i="46"/>
  <c r="Y60" i="46" s="1"/>
  <c r="AA60" i="46" s="1"/>
  <c r="AC60" i="46" s="1"/>
  <c r="X55" i="46"/>
  <c r="X50" i="46"/>
  <c r="X32" i="46"/>
  <c r="Y32" i="46" s="1"/>
  <c r="AA32" i="46" s="1"/>
  <c r="AC32" i="46" s="1"/>
  <c r="X27" i="46"/>
  <c r="Y27" i="46" s="1"/>
  <c r="AA27" i="46" s="1"/>
  <c r="AC27" i="46" s="1"/>
  <c r="X64" i="46"/>
  <c r="Y64" i="46" s="1"/>
  <c r="AA64" i="46" s="1"/>
  <c r="AC64" i="46" s="1"/>
  <c r="X59" i="46"/>
  <c r="Y59" i="46" s="1"/>
  <c r="AA59" i="46" s="1"/>
  <c r="AC59" i="46" s="1"/>
  <c r="X54" i="46"/>
  <c r="Y54" i="46" s="1"/>
  <c r="AA54" i="46" s="1"/>
  <c r="AC54" i="46" s="1"/>
  <c r="X49" i="46"/>
  <c r="Y49" i="46" s="1"/>
  <c r="AA49" i="46" s="1"/>
  <c r="AC49" i="46" s="1"/>
  <c r="O35" i="55"/>
  <c r="T35" i="55" s="1"/>
  <c r="N35" i="55"/>
  <c r="S35" i="55" s="1"/>
  <c r="N44" i="55"/>
  <c r="S44" i="55" s="1"/>
  <c r="R35" i="55"/>
  <c r="P35" i="55"/>
  <c r="U35" i="55" s="1"/>
  <c r="L44" i="55"/>
  <c r="Q44" i="55"/>
  <c r="V44" i="55" s="1"/>
  <c r="O33" i="55"/>
  <c r="T33" i="55" s="1"/>
  <c r="N43" i="55"/>
  <c r="S43" i="55" s="1"/>
  <c r="P44" i="55"/>
  <c r="U44" i="55" s="1"/>
  <c r="Z41" i="55"/>
  <c r="O44" i="55"/>
  <c r="T44" i="55" s="1"/>
  <c r="N33" i="55"/>
  <c r="S33" i="55" s="1"/>
  <c r="R42" i="55"/>
  <c r="L46" i="55"/>
  <c r="P42" i="55"/>
  <c r="U42" i="55" s="1"/>
  <c r="R33" i="55"/>
  <c r="Q32" i="55"/>
  <c r="V32" i="55" s="1"/>
  <c r="Q42" i="55"/>
  <c r="V42" i="55" s="1"/>
  <c r="P32" i="55"/>
  <c r="U32" i="55" s="1"/>
  <c r="O32" i="55"/>
  <c r="T32" i="55" s="1"/>
  <c r="R32" i="55"/>
  <c r="Q33" i="55"/>
  <c r="V33" i="55" s="1"/>
  <c r="L43" i="55"/>
  <c r="N34" i="55"/>
  <c r="S34" i="55" s="1"/>
  <c r="X39" i="46"/>
  <c r="X62" i="46"/>
  <c r="Y62" i="46" s="1"/>
  <c r="AA62" i="46" s="1"/>
  <c r="AC62" i="46" s="1"/>
  <c r="X57" i="46"/>
  <c r="Y57" i="46" s="1"/>
  <c r="AA57" i="46" s="1"/>
  <c r="AC57" i="46" s="1"/>
  <c r="X52" i="46"/>
  <c r="Y52" i="46" s="1"/>
  <c r="AA52" i="46" s="1"/>
  <c r="AC52" i="46" s="1"/>
  <c r="X47" i="46"/>
  <c r="Y47" i="46" s="1"/>
  <c r="AA47" i="46" s="1"/>
  <c r="AC47" i="46" s="1"/>
  <c r="X34" i="46"/>
  <c r="Y34" i="46" s="1"/>
  <c r="AA34" i="46" s="1"/>
  <c r="AC34" i="46" s="1"/>
  <c r="X29" i="46"/>
  <c r="Y29" i="46" s="1"/>
  <c r="AA29" i="46" s="1"/>
  <c r="AC29" i="46" s="1"/>
  <c r="X24" i="46"/>
  <c r="X44" i="46"/>
  <c r="Y44" i="46" s="1"/>
  <c r="AA44" i="46" s="1"/>
  <c r="AC44" i="46" s="1"/>
  <c r="X42" i="46"/>
  <c r="X37" i="46"/>
  <c r="Y37" i="46" s="1"/>
  <c r="AA37" i="46" s="1"/>
  <c r="AC37" i="46" s="1"/>
  <c r="X45" i="46"/>
  <c r="Y45" i="46" s="1"/>
  <c r="AA45" i="46" s="1"/>
  <c r="AC45" i="46" s="1"/>
  <c r="X40" i="46"/>
  <c r="Y40" i="46" s="1"/>
  <c r="AA40" i="46" s="1"/>
  <c r="AC40" i="46" s="1"/>
  <c r="X63" i="46"/>
  <c r="Y63" i="46" s="1"/>
  <c r="AA63" i="46" s="1"/>
  <c r="AC63" i="46" s="1"/>
  <c r="X58" i="46"/>
  <c r="Y58" i="46" s="1"/>
  <c r="AA58" i="46" s="1"/>
  <c r="AC58" i="46" s="1"/>
  <c r="X53" i="46"/>
  <c r="Y53" i="46" s="1"/>
  <c r="AA53" i="46" s="1"/>
  <c r="AC53" i="46" s="1"/>
  <c r="X48" i="46"/>
  <c r="Y48" i="46" s="1"/>
  <c r="AA48" i="46" s="1"/>
  <c r="AC48" i="46" s="1"/>
  <c r="X35" i="46"/>
  <c r="X30" i="46"/>
  <c r="Y30" i="46" s="1"/>
  <c r="AA30" i="46" s="1"/>
  <c r="AC30" i="46" s="1"/>
  <c r="X25" i="46"/>
  <c r="Y25" i="46" s="1"/>
  <c r="AA25" i="46" s="1"/>
  <c r="AC25" i="46" s="1"/>
  <c r="X43" i="46"/>
  <c r="Y43" i="46" s="1"/>
  <c r="AA43" i="46" s="1"/>
  <c r="AC43" i="46" s="1"/>
  <c r="X38" i="46"/>
  <c r="Y38" i="46" s="1"/>
  <c r="AA38" i="46" s="1"/>
  <c r="AC38" i="46" s="1"/>
  <c r="X66" i="46"/>
  <c r="Y66" i="46" s="1"/>
  <c r="AA66" i="46" s="1"/>
  <c r="AC66" i="46" s="1"/>
  <c r="X61" i="46"/>
  <c r="Y61" i="46" s="1"/>
  <c r="AA61" i="46" s="1"/>
  <c r="AC61" i="46" s="1"/>
  <c r="X56" i="46"/>
  <c r="Y56" i="46" s="1"/>
  <c r="AA56" i="46" s="1"/>
  <c r="AC56" i="46" s="1"/>
  <c r="X51" i="46"/>
  <c r="Y51" i="46" s="1"/>
  <c r="AA51" i="46" s="1"/>
  <c r="AC51" i="46" s="1"/>
  <c r="X46" i="46"/>
  <c r="X33" i="46"/>
  <c r="X28" i="46"/>
  <c r="Y28" i="46" s="1"/>
  <c r="AA28" i="46" s="1"/>
  <c r="AC28" i="46" s="1"/>
  <c r="X23" i="46"/>
  <c r="Y23" i="46" s="1"/>
  <c r="AA23" i="46" s="1"/>
  <c r="AC23" i="46" s="1"/>
  <c r="X41" i="46"/>
  <c r="Y41" i="46" s="1"/>
  <c r="AA41" i="46" s="1"/>
  <c r="AC41" i="46" s="1"/>
  <c r="X36" i="46"/>
  <c r="Y36" i="46" s="1"/>
  <c r="AA36" i="46" s="1"/>
  <c r="AC36" i="46" s="1"/>
  <c r="X31" i="46"/>
  <c r="Y31" i="46" s="1"/>
  <c r="AA31" i="46" s="1"/>
  <c r="AC31" i="46" s="1"/>
  <c r="X26" i="46"/>
  <c r="Y26" i="46" s="1"/>
  <c r="AA26" i="46" s="1"/>
  <c r="AC26" i="46" s="1"/>
  <c r="P27" i="55"/>
  <c r="U27" i="55" s="1"/>
  <c r="O27" i="55"/>
  <c r="T27" i="55" s="1"/>
  <c r="J30" i="55"/>
  <c r="L30" i="55" s="1"/>
  <c r="C30" i="55"/>
  <c r="J36" i="55"/>
  <c r="AB36" i="55" s="1"/>
  <c r="C36" i="55"/>
  <c r="J32" i="55"/>
  <c r="L32" i="55" s="1"/>
  <c r="C32" i="55"/>
  <c r="J34" i="55"/>
  <c r="Z34" i="55" s="1"/>
  <c r="C34" i="55"/>
  <c r="J35" i="55"/>
  <c r="AB35" i="55" s="1"/>
  <c r="C35" i="55"/>
  <c r="J31" i="55"/>
  <c r="Z31" i="55" s="1"/>
  <c r="C31" i="55"/>
  <c r="J28" i="55"/>
  <c r="AB28" i="55" s="1"/>
  <c r="C28" i="55"/>
  <c r="J33" i="55"/>
  <c r="AB33" i="55" s="1"/>
  <c r="C33" i="55"/>
  <c r="X22" i="46"/>
  <c r="Y22" i="46" s="1"/>
  <c r="AA22" i="46" s="1"/>
  <c r="AC22" i="46" s="1"/>
  <c r="J29" i="55"/>
  <c r="AB29" i="55" s="1"/>
  <c r="C29" i="55"/>
  <c r="J27" i="55"/>
  <c r="L27" i="55" s="1"/>
  <c r="N27" i="55" s="1"/>
  <c r="S27" i="55" s="1"/>
  <c r="K37" i="64"/>
  <c r="L37" i="64" s="1"/>
  <c r="M37" i="64" s="1"/>
  <c r="G407" i="39"/>
  <c r="L42" i="55"/>
  <c r="L45" i="55"/>
  <c r="L41" i="55"/>
  <c r="Z39" i="55"/>
  <c r="L39" i="55"/>
  <c r="Y36" i="43"/>
  <c r="Z36" i="43"/>
  <c r="L39" i="64"/>
  <c r="M39" i="64" s="1"/>
  <c r="K38" i="64"/>
  <c r="X28" i="43"/>
  <c r="Y28" i="43" s="1"/>
  <c r="AD28" i="43" s="1"/>
  <c r="E490" i="39"/>
  <c r="C490" i="39" s="1"/>
  <c r="R27" i="43"/>
  <c r="W27" i="43" s="1"/>
  <c r="R28" i="43"/>
  <c r="W28" i="43" s="1"/>
  <c r="U36" i="55"/>
  <c r="U45" i="55"/>
  <c r="U30" i="55"/>
  <c r="X31" i="43"/>
  <c r="Y31" i="43" s="1"/>
  <c r="V28" i="55"/>
  <c r="V36" i="55"/>
  <c r="K40" i="64"/>
  <c r="T40" i="55"/>
  <c r="V35" i="55"/>
  <c r="S42" i="55"/>
  <c r="T30" i="55"/>
  <c r="E218" i="39"/>
  <c r="E494" i="39" s="1"/>
  <c r="S22" i="48"/>
  <c r="L27" i="64"/>
  <c r="M27" i="64" s="1"/>
  <c r="L13" i="64"/>
  <c r="M13" i="64" s="1"/>
  <c r="L14" i="64"/>
  <c r="M14" i="64" s="1"/>
  <c r="E492" i="39"/>
  <c r="C492" i="39" s="1"/>
  <c r="T42" i="55"/>
  <c r="U41" i="55"/>
  <c r="Z43" i="55"/>
  <c r="Z45" i="55"/>
  <c r="T39" i="55"/>
  <c r="U32" i="43"/>
  <c r="AA32" i="43" s="1"/>
  <c r="U46" i="55"/>
  <c r="T46" i="55"/>
  <c r="T36" i="55"/>
  <c r="Z44" i="55"/>
  <c r="Z42" i="55"/>
  <c r="Z40" i="55"/>
  <c r="AA16" i="46"/>
  <c r="AC16" i="46" s="1"/>
  <c r="U31" i="43"/>
  <c r="AA31" i="43" s="1"/>
  <c r="Q28" i="44"/>
  <c r="R28" i="44" s="1"/>
  <c r="J53" i="39"/>
  <c r="Q39" i="44" s="1"/>
  <c r="R39" i="44" s="1"/>
  <c r="Q17" i="44"/>
  <c r="R17" i="44" s="1"/>
  <c r="J54" i="39"/>
  <c r="Q24" i="44" s="1"/>
  <c r="R24" i="44" s="1"/>
  <c r="I53" i="39"/>
  <c r="O38" i="44" s="1"/>
  <c r="P38" i="44" s="1"/>
  <c r="O17" i="44"/>
  <c r="P17" i="44" s="1"/>
  <c r="I54" i="39"/>
  <c r="O24" i="44" s="1"/>
  <c r="P24" i="44" s="1"/>
  <c r="S31" i="43"/>
  <c r="Z31" i="43" s="1"/>
  <c r="O28" i="44"/>
  <c r="P28" i="44" s="1"/>
  <c r="M48" i="44"/>
  <c r="N48" i="44" s="1"/>
  <c r="V48" i="44" s="1"/>
  <c r="M19" i="44"/>
  <c r="N19" i="44" s="1"/>
  <c r="V19" i="44" s="1"/>
  <c r="X26" i="43"/>
  <c r="Y26" i="43" s="1"/>
  <c r="AD26" i="43" s="1"/>
  <c r="S39" i="44"/>
  <c r="T39" i="44" s="1"/>
  <c r="W39" i="44" s="1"/>
  <c r="S38" i="44"/>
  <c r="T38" i="44" s="1"/>
  <c r="W38" i="44" s="1"/>
  <c r="S16" i="44"/>
  <c r="T16" i="44" s="1"/>
  <c r="S48" i="44"/>
  <c r="T48" i="44" s="1"/>
  <c r="W48" i="44" s="1"/>
  <c r="S19" i="44"/>
  <c r="T19" i="44" s="1"/>
  <c r="W19" i="44" s="1"/>
  <c r="P43" i="44"/>
  <c r="R43" i="44"/>
  <c r="R46" i="44"/>
  <c r="P46" i="44"/>
  <c r="R53" i="44"/>
  <c r="P53" i="44"/>
  <c r="R40" i="44"/>
  <c r="P40" i="44"/>
  <c r="R47" i="44"/>
  <c r="P47" i="44"/>
  <c r="R51" i="44"/>
  <c r="P51" i="44"/>
  <c r="R44" i="44"/>
  <c r="P44" i="44"/>
  <c r="R50" i="44"/>
  <c r="P50" i="44"/>
  <c r="R41" i="44"/>
  <c r="P41" i="44"/>
  <c r="P54" i="44"/>
  <c r="R54" i="44"/>
  <c r="P49" i="44"/>
  <c r="R49" i="44"/>
  <c r="R42" i="44"/>
  <c r="P42" i="44"/>
  <c r="R52" i="44"/>
  <c r="P52" i="44"/>
  <c r="P45" i="44"/>
  <c r="R45" i="44"/>
  <c r="I50" i="39"/>
  <c r="S27" i="43" s="1"/>
  <c r="Z27" i="43" s="1"/>
  <c r="I52" i="39"/>
  <c r="O22" i="44" s="1"/>
  <c r="P22" i="44" s="1"/>
  <c r="J55" i="39"/>
  <c r="J52" i="39"/>
  <c r="Q22" i="44" s="1"/>
  <c r="R22" i="44" s="1"/>
  <c r="D20" i="39"/>
  <c r="D21" i="39" s="1"/>
  <c r="L20" i="39"/>
  <c r="L21" i="39" s="1"/>
  <c r="X29" i="43"/>
  <c r="Y29" i="43" s="1"/>
  <c r="AD29" i="43" s="1"/>
  <c r="S36" i="55"/>
  <c r="V46" i="55"/>
  <c r="J17" i="49"/>
  <c r="O17" i="49" s="1"/>
  <c r="P17" i="49" s="1"/>
  <c r="Q17" i="49" s="1"/>
  <c r="F218" i="39"/>
  <c r="F494" i="39" s="1"/>
  <c r="D218" i="39"/>
  <c r="D494" i="39" s="1"/>
  <c r="S32" i="55"/>
  <c r="S45" i="55"/>
  <c r="V38" i="55"/>
  <c r="V45" i="55"/>
  <c r="V39" i="55"/>
  <c r="V41" i="55"/>
  <c r="K17" i="64"/>
  <c r="C367" i="39"/>
  <c r="J17" i="64" s="1"/>
  <c r="L17" i="64" s="1"/>
  <c r="M17" i="64" s="1"/>
  <c r="X27" i="43"/>
  <c r="Y27" i="43" s="1"/>
  <c r="AD27" i="43" s="1"/>
  <c r="T49" i="44"/>
  <c r="W49" i="44" s="1"/>
  <c r="T54" i="44"/>
  <c r="W54" i="44" s="1"/>
  <c r="N28" i="44"/>
  <c r="V28" i="44" s="1"/>
  <c r="T46" i="44"/>
  <c r="W46" i="44" s="1"/>
  <c r="N49" i="44"/>
  <c r="V49" i="44" s="1"/>
  <c r="T47" i="44"/>
  <c r="W47" i="44" s="1"/>
  <c r="T52" i="44"/>
  <c r="W52" i="44" s="1"/>
  <c r="T50" i="44"/>
  <c r="W50" i="44" s="1"/>
  <c r="N52" i="44"/>
  <c r="V52" i="44" s="1"/>
  <c r="N39" i="44"/>
  <c r="V39" i="44" s="1"/>
  <c r="N46" i="44"/>
  <c r="V46" i="44" s="1"/>
  <c r="N27" i="44"/>
  <c r="V27" i="44" s="1"/>
  <c r="N51" i="44"/>
  <c r="V51" i="44" s="1"/>
  <c r="L55" i="44"/>
  <c r="N54" i="44"/>
  <c r="V54" i="44" s="1"/>
  <c r="N47" i="44"/>
  <c r="V47" i="44" s="1"/>
  <c r="N50" i="44"/>
  <c r="V50" i="44" s="1"/>
  <c r="T53" i="44"/>
  <c r="W53" i="44" s="1"/>
  <c r="T51" i="44"/>
  <c r="W51" i="44" s="1"/>
  <c r="N53" i="44"/>
  <c r="V53" i="44" s="1"/>
  <c r="S19" i="50"/>
  <c r="T19" i="50" s="1"/>
  <c r="C491" i="39"/>
  <c r="T28" i="55"/>
  <c r="S46" i="55"/>
  <c r="V40" i="55"/>
  <c r="R29" i="43"/>
  <c r="W29" i="43" s="1"/>
  <c r="R32" i="43"/>
  <c r="W32" i="43" s="1"/>
  <c r="T21" i="44"/>
  <c r="W21" i="44" s="1"/>
  <c r="R37" i="55"/>
  <c r="Q34" i="55"/>
  <c r="V34" i="55" s="1"/>
  <c r="Q31" i="55"/>
  <c r="V31" i="55" s="1"/>
  <c r="N31" i="55"/>
  <c r="S31" i="55" s="1"/>
  <c r="Q29" i="55"/>
  <c r="V29" i="55" s="1"/>
  <c r="P40" i="55"/>
  <c r="U40" i="55" s="1"/>
  <c r="R40" i="55"/>
  <c r="P29" i="55"/>
  <c r="U29" i="55" s="1"/>
  <c r="R34" i="55"/>
  <c r="R31" i="55"/>
  <c r="N40" i="55"/>
  <c r="S40" i="55" s="1"/>
  <c r="L40" i="55"/>
  <c r="O29" i="55"/>
  <c r="T29" i="55" s="1"/>
  <c r="P31" i="55"/>
  <c r="U31" i="55" s="1"/>
  <c r="N40" i="44"/>
  <c r="V40" i="44" s="1"/>
  <c r="T45" i="44"/>
  <c r="W45" i="44" s="1"/>
  <c r="T40" i="44"/>
  <c r="W40" i="44" s="1"/>
  <c r="T42" i="44"/>
  <c r="W42" i="44" s="1"/>
  <c r="N43" i="44"/>
  <c r="V43" i="44" s="1"/>
  <c r="N44" i="44"/>
  <c r="V44" i="44" s="1"/>
  <c r="T41" i="44"/>
  <c r="W41" i="44" s="1"/>
  <c r="N41" i="44"/>
  <c r="V41" i="44" s="1"/>
  <c r="N45" i="44"/>
  <c r="V45" i="44" s="1"/>
  <c r="N42" i="44"/>
  <c r="V42" i="44" s="1"/>
  <c r="T43" i="44"/>
  <c r="W43" i="44" s="1"/>
  <c r="T44" i="44"/>
  <c r="W44" i="44" s="1"/>
  <c r="N24" i="44"/>
  <c r="V24" i="44" s="1"/>
  <c r="Y37" i="43"/>
  <c r="Q37" i="55"/>
  <c r="V37" i="55" s="1"/>
  <c r="O38" i="55"/>
  <c r="T38" i="55" s="1"/>
  <c r="Z37" i="55"/>
  <c r="L38" i="55"/>
  <c r="P38" i="55" s="1"/>
  <c r="U38" i="55" s="1"/>
  <c r="Z38" i="55"/>
  <c r="AA12" i="46"/>
  <c r="AC12" i="46" s="1"/>
  <c r="T18" i="44"/>
  <c r="W18" i="44" s="1"/>
  <c r="N38" i="44"/>
  <c r="V38" i="44" s="1"/>
  <c r="Z35" i="43"/>
  <c r="AA35" i="43"/>
  <c r="S20" i="50"/>
  <c r="T20" i="50" s="1"/>
  <c r="S21" i="50"/>
  <c r="T21" i="50" s="1"/>
  <c r="S22" i="50"/>
  <c r="T22" i="50" s="1"/>
  <c r="S13" i="50"/>
  <c r="T13" i="50" s="1"/>
  <c r="C2" i="50" s="1"/>
  <c r="S23" i="50"/>
  <c r="T23" i="50" s="1"/>
  <c r="T27" i="48"/>
  <c r="U30" i="48"/>
  <c r="X30" i="48" s="1"/>
  <c r="Y30" i="48" s="1"/>
  <c r="U27" i="48"/>
  <c r="U23" i="48"/>
  <c r="X23" i="48" s="1"/>
  <c r="T22" i="48"/>
  <c r="U22" i="48"/>
  <c r="U31" i="48"/>
  <c r="U29" i="48"/>
  <c r="X29" i="48" s="1"/>
  <c r="Y29" i="48" s="1"/>
  <c r="U26" i="48"/>
  <c r="X26" i="48" s="1"/>
  <c r="Y26" i="48" s="1"/>
  <c r="U24" i="48"/>
  <c r="X24" i="48" s="1"/>
  <c r="Y24" i="48" s="1"/>
  <c r="S27" i="48"/>
  <c r="T31" i="48"/>
  <c r="T28" i="48"/>
  <c r="U28" i="48"/>
  <c r="Q27" i="55"/>
  <c r="V27" i="55" s="1"/>
  <c r="Y42" i="46"/>
  <c r="AA42" i="46" s="1"/>
  <c r="AC42" i="46" s="1"/>
  <c r="AA14" i="46"/>
  <c r="AC14" i="46" s="1"/>
  <c r="N26" i="44"/>
  <c r="V26" i="44" s="1"/>
  <c r="T22" i="44"/>
  <c r="W22" i="44" s="1"/>
  <c r="N18" i="44"/>
  <c r="V18" i="44" s="1"/>
  <c r="T25" i="44"/>
  <c r="W25" i="44" s="1"/>
  <c r="Y30" i="43"/>
  <c r="W31" i="43"/>
  <c r="U34" i="55"/>
  <c r="R17" i="43"/>
  <c r="W17" i="43" s="1"/>
  <c r="I51" i="39"/>
  <c r="M20" i="39"/>
  <c r="M21" i="39" s="1"/>
  <c r="N20" i="39"/>
  <c r="N21" i="39" s="1"/>
  <c r="I20" i="39"/>
  <c r="I21" i="39" s="1"/>
  <c r="I55" i="39"/>
  <c r="U33" i="55"/>
  <c r="U28" i="55"/>
  <c r="M25" i="65"/>
  <c r="R24" i="45"/>
  <c r="R22" i="45"/>
  <c r="P22" i="49"/>
  <c r="Q22" i="49" s="1"/>
  <c r="P53" i="49"/>
  <c r="Q53" i="49" s="1"/>
  <c r="P61" i="49"/>
  <c r="Q61" i="49" s="1"/>
  <c r="C493" i="39"/>
  <c r="U19" i="43"/>
  <c r="Y19" i="43" s="1"/>
  <c r="Z19" i="43" s="1"/>
  <c r="U17" i="43"/>
  <c r="Y17" i="43" s="1"/>
  <c r="U10" i="43"/>
  <c r="AB42" i="55"/>
  <c r="AB45" i="55"/>
  <c r="AB40" i="55"/>
  <c r="AB38" i="55"/>
  <c r="AB43" i="55"/>
  <c r="AB44" i="55"/>
  <c r="AB41" i="55"/>
  <c r="AB39" i="55"/>
  <c r="J50" i="39"/>
  <c r="S10" i="43"/>
  <c r="P35" i="49"/>
  <c r="Q35" i="49" s="1"/>
  <c r="Z46" i="55"/>
  <c r="S17" i="43"/>
  <c r="X17" i="43" s="1"/>
  <c r="C21" i="39"/>
  <c r="J51" i="39"/>
  <c r="R10" i="43"/>
  <c r="F20" i="39"/>
  <c r="F21" i="39" s="1"/>
  <c r="AB46" i="55"/>
  <c r="P36" i="49"/>
  <c r="Q36" i="49" s="1"/>
  <c r="P28" i="49"/>
  <c r="Q28" i="49" s="1"/>
  <c r="U43" i="55"/>
  <c r="U39" i="55"/>
  <c r="T37" i="55"/>
  <c r="T31" i="55"/>
  <c r="Y46" i="46"/>
  <c r="AA46" i="46" s="1"/>
  <c r="AC46" i="46" s="1"/>
  <c r="Y24" i="46"/>
  <c r="AA24" i="46" s="1"/>
  <c r="AC24" i="46" s="1"/>
  <c r="Y32" i="43"/>
  <c r="AD32" i="43" s="1"/>
  <c r="W35" i="43"/>
  <c r="AA36" i="43"/>
  <c r="Y35" i="43"/>
  <c r="W36" i="43"/>
  <c r="J27" i="65"/>
  <c r="J34" i="65"/>
  <c r="K34" i="65" s="1"/>
  <c r="M34" i="65" s="1"/>
  <c r="J36" i="65"/>
  <c r="K36" i="65" s="1"/>
  <c r="M36" i="65" s="1"/>
  <c r="J38" i="65"/>
  <c r="K38" i="65" s="1"/>
  <c r="M38" i="65" s="1"/>
  <c r="J37" i="65"/>
  <c r="K37" i="65" s="1"/>
  <c r="M37" i="65" s="1"/>
  <c r="J39" i="65"/>
  <c r="K39" i="65" s="1"/>
  <c r="M39" i="65" s="1"/>
  <c r="J35" i="65"/>
  <c r="K35" i="65" s="1"/>
  <c r="M35" i="65" s="1"/>
  <c r="P20" i="49"/>
  <c r="Q20" i="49" s="1"/>
  <c r="N23" i="44"/>
  <c r="V23" i="44" s="1"/>
  <c r="P31" i="49"/>
  <c r="Q31" i="49" s="1"/>
  <c r="U30" i="43"/>
  <c r="AA30" i="43" s="1"/>
  <c r="S30" i="43"/>
  <c r="Z30" i="43" s="1"/>
  <c r="P23" i="49"/>
  <c r="Q23" i="49" s="1"/>
  <c r="P40" i="49"/>
  <c r="Q40" i="49" s="1"/>
  <c r="P44" i="49"/>
  <c r="Q44" i="49" s="1"/>
  <c r="P48" i="49"/>
  <c r="Q48" i="49" s="1"/>
  <c r="P50" i="49"/>
  <c r="Q50" i="49" s="1"/>
  <c r="AA15" i="46"/>
  <c r="AC15" i="46" s="1"/>
  <c r="P47" i="49"/>
  <c r="Q47" i="49" s="1"/>
  <c r="P64" i="49"/>
  <c r="Q64" i="49" s="1"/>
  <c r="P60" i="49"/>
  <c r="Q60" i="49" s="1"/>
  <c r="P56" i="49"/>
  <c r="Q56" i="49" s="1"/>
  <c r="R21" i="45"/>
  <c r="J49" i="65"/>
  <c r="K49" i="65" s="1"/>
  <c r="M49" i="65" s="1"/>
  <c r="J50" i="65"/>
  <c r="K50" i="65" s="1"/>
  <c r="M50" i="65" s="1"/>
  <c r="J48" i="65"/>
  <c r="K48" i="65" s="1"/>
  <c r="M48" i="65" s="1"/>
  <c r="M46" i="65"/>
  <c r="J47" i="65"/>
  <c r="K47" i="65" s="1"/>
  <c r="M47" i="65" s="1"/>
  <c r="J25" i="65"/>
  <c r="J26" i="65"/>
  <c r="J45" i="65"/>
  <c r="K45" i="65" s="1"/>
  <c r="M45" i="65" s="1"/>
  <c r="J32" i="65"/>
  <c r="Y65" i="46"/>
  <c r="AA65" i="46" s="1"/>
  <c r="AC65" i="46" s="1"/>
  <c r="Y50" i="46"/>
  <c r="AA50" i="46" s="1"/>
  <c r="AC50" i="46" s="1"/>
  <c r="Y35" i="46"/>
  <c r="AA35" i="46" s="1"/>
  <c r="AC35" i="46" s="1"/>
  <c r="Y33" i="46"/>
  <c r="AA33" i="46" s="1"/>
  <c r="AC33" i="46" s="1"/>
  <c r="X25" i="48"/>
  <c r="Y25" i="48" s="1"/>
  <c r="P41" i="49"/>
  <c r="Q41" i="49" s="1"/>
  <c r="P37" i="49"/>
  <c r="Q37" i="49" s="1"/>
  <c r="P66" i="49"/>
  <c r="Q66" i="49" s="1"/>
  <c r="P62" i="49"/>
  <c r="Q62" i="49" s="1"/>
  <c r="P58" i="49"/>
  <c r="Q58" i="49" s="1"/>
  <c r="P46" i="49"/>
  <c r="Q46" i="49" s="1"/>
  <c r="P38" i="49"/>
  <c r="Q38" i="49" s="1"/>
  <c r="P34" i="49"/>
  <c r="Q34" i="49" s="1"/>
  <c r="P30" i="49"/>
  <c r="Q30" i="49" s="1"/>
  <c r="P26" i="49"/>
  <c r="Q26" i="49" s="1"/>
  <c r="P18" i="49"/>
  <c r="Q18" i="49" s="1"/>
  <c r="P63" i="49"/>
  <c r="Q63" i="49" s="1"/>
  <c r="P55" i="49"/>
  <c r="Q55" i="49" s="1"/>
  <c r="P24" i="49"/>
  <c r="Q24" i="49" s="1"/>
  <c r="P68" i="49"/>
  <c r="Q68" i="49" s="1"/>
  <c r="T23" i="44"/>
  <c r="W23" i="44" s="1"/>
  <c r="AA13" i="46"/>
  <c r="AC13" i="46" s="1"/>
  <c r="AB37" i="43"/>
  <c r="AC37" i="43" s="1"/>
  <c r="R31" i="45"/>
  <c r="Z31" i="45" s="1"/>
  <c r="R43" i="45"/>
  <c r="Y43" i="45" s="1"/>
  <c r="N16" i="44"/>
  <c r="R23" i="45"/>
  <c r="X23" i="45" s="1"/>
  <c r="R30" i="43"/>
  <c r="W30" i="43" s="1"/>
  <c r="R40" i="45"/>
  <c r="R38" i="45"/>
  <c r="Z38" i="45" s="1"/>
  <c r="R27" i="45"/>
  <c r="N17" i="44"/>
  <c r="V17" i="44" s="1"/>
  <c r="P19" i="49"/>
  <c r="Q19" i="49" s="1"/>
  <c r="P52" i="49"/>
  <c r="Q52" i="49" s="1"/>
  <c r="P43" i="49"/>
  <c r="Q43" i="49" s="1"/>
  <c r="P39" i="49"/>
  <c r="Q39" i="49" s="1"/>
  <c r="P32" i="49"/>
  <c r="Q32" i="49" s="1"/>
  <c r="N22" i="44"/>
  <c r="V22" i="44" s="1"/>
  <c r="N20" i="44"/>
  <c r="V20" i="44" s="1"/>
  <c r="P54" i="49"/>
  <c r="Q54" i="49" s="1"/>
  <c r="R30" i="45"/>
  <c r="R25" i="45"/>
  <c r="R12" i="45"/>
  <c r="R34" i="45"/>
  <c r="R26" i="45"/>
  <c r="T24" i="44"/>
  <c r="W24" i="44" s="1"/>
  <c r="P57" i="49"/>
  <c r="Q57" i="49" s="1"/>
  <c r="P21" i="49"/>
  <c r="Q21" i="49" s="1"/>
  <c r="P42" i="49"/>
  <c r="Q42" i="49" s="1"/>
  <c r="P27" i="49"/>
  <c r="Q27" i="49" s="1"/>
  <c r="P67" i="49"/>
  <c r="Q67" i="49" s="1"/>
  <c r="P49" i="49"/>
  <c r="Q49" i="49" s="1"/>
  <c r="P33" i="49"/>
  <c r="Q33" i="49" s="1"/>
  <c r="P25" i="49"/>
  <c r="Q25" i="49" s="1"/>
  <c r="Y55" i="46"/>
  <c r="AA55" i="46" s="1"/>
  <c r="AC55" i="46" s="1"/>
  <c r="Y39" i="46"/>
  <c r="AA39" i="46" s="1"/>
  <c r="AC39" i="46" s="1"/>
  <c r="P59" i="49"/>
  <c r="Q59" i="49" s="1"/>
  <c r="P45" i="49"/>
  <c r="Q45" i="49" s="1"/>
  <c r="J20" i="39"/>
  <c r="J21" i="39" s="1"/>
  <c r="G20" i="39"/>
  <c r="G21" i="39" s="1"/>
  <c r="E20" i="39"/>
  <c r="E21" i="39" s="1"/>
  <c r="O20" i="39"/>
  <c r="O21" i="39" s="1"/>
  <c r="P20" i="39"/>
  <c r="P21" i="39" s="1"/>
  <c r="H20" i="39"/>
  <c r="H21" i="39" s="1"/>
  <c r="B1" i="40"/>
  <c r="K20" i="39"/>
  <c r="K21" i="39" s="1"/>
  <c r="B7" i="40"/>
  <c r="P51" i="49"/>
  <c r="Q51" i="49" s="1"/>
  <c r="P29" i="49"/>
  <c r="Q29" i="49" s="1"/>
  <c r="P65" i="49"/>
  <c r="R28" i="45"/>
  <c r="L37" i="55"/>
  <c r="AB37" i="55"/>
  <c r="S32" i="43"/>
  <c r="Z32" i="43" s="1"/>
  <c r="AB31" i="55" l="1"/>
  <c r="Z30" i="55"/>
  <c r="AB30" i="55"/>
  <c r="Z28" i="55"/>
  <c r="Z36" i="55"/>
  <c r="AC36" i="55" s="1"/>
  <c r="L31" i="55"/>
  <c r="AC41" i="55"/>
  <c r="AF41" i="55" s="1"/>
  <c r="O16" i="44"/>
  <c r="P16" i="44" s="1"/>
  <c r="AB32" i="55"/>
  <c r="AB27" i="55"/>
  <c r="U26" i="43"/>
  <c r="AA26" i="43" s="1"/>
  <c r="Z33" i="55"/>
  <c r="AC33" i="55" s="1"/>
  <c r="AF33" i="55" s="1"/>
  <c r="AC39" i="55"/>
  <c r="AF39" i="55" s="1"/>
  <c r="Z32" i="55"/>
  <c r="L33" i="55"/>
  <c r="L28" i="55"/>
  <c r="N28" i="55" s="1"/>
  <c r="S28" i="55" s="1"/>
  <c r="L36" i="55"/>
  <c r="L35" i="55"/>
  <c r="Z35" i="55"/>
  <c r="AC35" i="55" s="1"/>
  <c r="AB34" i="55"/>
  <c r="AC34" i="55" s="1"/>
  <c r="AF34" i="55" s="1"/>
  <c r="L34" i="55"/>
  <c r="Z27" i="55"/>
  <c r="Z29" i="55"/>
  <c r="AC29" i="55" s="1"/>
  <c r="AF29" i="55" s="1"/>
  <c r="L29" i="55"/>
  <c r="K44" i="64"/>
  <c r="L44" i="64" s="1"/>
  <c r="M44" i="64" s="1"/>
  <c r="K45" i="64"/>
  <c r="L45" i="64" s="1"/>
  <c r="M45" i="64" s="1"/>
  <c r="K42" i="64"/>
  <c r="L42" i="64" s="1"/>
  <c r="M42" i="64" s="1"/>
  <c r="K43" i="64"/>
  <c r="L43" i="64" s="1"/>
  <c r="M43" i="64" s="1"/>
  <c r="L38" i="64"/>
  <c r="M38" i="64" s="1"/>
  <c r="L40" i="64"/>
  <c r="M40" i="64" s="1"/>
  <c r="AC45" i="55"/>
  <c r="AF45" i="55" s="1"/>
  <c r="K32" i="65"/>
  <c r="M32" i="65" s="1"/>
  <c r="M33" i="65"/>
  <c r="AC43" i="55"/>
  <c r="AF43" i="55" s="1"/>
  <c r="AC42" i="55"/>
  <c r="AF42" i="55" s="1"/>
  <c r="AB31" i="43"/>
  <c r="AC31" i="43" s="1"/>
  <c r="S26" i="43"/>
  <c r="Z26" i="43" s="1"/>
  <c r="AC44" i="55"/>
  <c r="AF44" i="55" s="1"/>
  <c r="AC40" i="55"/>
  <c r="AF40" i="55" s="1"/>
  <c r="Q16" i="44"/>
  <c r="R16" i="44" s="1"/>
  <c r="O39" i="44"/>
  <c r="P39" i="44" s="1"/>
  <c r="W27" i="55"/>
  <c r="X27" i="55" s="1"/>
  <c r="AE27" i="55" s="1"/>
  <c r="Q38" i="44"/>
  <c r="R38" i="44" s="1"/>
  <c r="AC37" i="55"/>
  <c r="AF37" i="55" s="1"/>
  <c r="O48" i="44"/>
  <c r="P48" i="44" s="1"/>
  <c r="O19" i="44"/>
  <c r="P19" i="44" s="1"/>
  <c r="S28" i="43"/>
  <c r="Z28" i="43" s="1"/>
  <c r="O23" i="44"/>
  <c r="P23" i="44" s="1"/>
  <c r="U28" i="43"/>
  <c r="AA28" i="43" s="1"/>
  <c r="Q23" i="44"/>
  <c r="R23" i="44" s="1"/>
  <c r="U27" i="43"/>
  <c r="AA27" i="43" s="1"/>
  <c r="AB27" i="43" s="1"/>
  <c r="AC27" i="43" s="1"/>
  <c r="Q19" i="44"/>
  <c r="R19" i="44" s="1"/>
  <c r="Q48" i="44"/>
  <c r="R48" i="44" s="1"/>
  <c r="S29" i="43"/>
  <c r="Z29" i="43" s="1"/>
  <c r="O18" i="44"/>
  <c r="P18" i="44" s="1"/>
  <c r="U29" i="43"/>
  <c r="AA29" i="43" s="1"/>
  <c r="Q18" i="44"/>
  <c r="R18" i="44" s="1"/>
  <c r="T55" i="44"/>
  <c r="W55" i="44" s="1"/>
  <c r="R55" i="44"/>
  <c r="P55" i="44"/>
  <c r="W44" i="55"/>
  <c r="X44" i="55" s="1"/>
  <c r="AE44" i="55" s="1"/>
  <c r="W34" i="55"/>
  <c r="X34" i="55" s="1"/>
  <c r="AE34" i="55" s="1"/>
  <c r="W35" i="55"/>
  <c r="X35" i="55" s="1"/>
  <c r="AE35" i="55" s="1"/>
  <c r="AB32" i="43"/>
  <c r="AC32" i="43" s="1"/>
  <c r="P37" i="55"/>
  <c r="U37" i="55" s="1"/>
  <c r="N37" i="55"/>
  <c r="S37" i="55" s="1"/>
  <c r="W29" i="55"/>
  <c r="X29" i="55" s="1"/>
  <c r="AE29" i="55" s="1"/>
  <c r="W41" i="55"/>
  <c r="X41" i="55" s="1"/>
  <c r="AE41" i="55" s="1"/>
  <c r="W38" i="55"/>
  <c r="W33" i="55"/>
  <c r="X33" i="55" s="1"/>
  <c r="AE33" i="55" s="1"/>
  <c r="W40" i="55"/>
  <c r="X40" i="55" s="1"/>
  <c r="W32" i="55"/>
  <c r="X32" i="55" s="1"/>
  <c r="AE32" i="55" s="1"/>
  <c r="W30" i="55"/>
  <c r="X30" i="55" s="1"/>
  <c r="AE30" i="55" s="1"/>
  <c r="W28" i="55"/>
  <c r="W37" i="55"/>
  <c r="W46" i="55"/>
  <c r="X46" i="55" s="1"/>
  <c r="AE46" i="55" s="1"/>
  <c r="C494" i="39"/>
  <c r="W36" i="55"/>
  <c r="X36" i="55" s="1"/>
  <c r="AE36" i="55" s="1"/>
  <c r="X28" i="48"/>
  <c r="Y28" i="48" s="1"/>
  <c r="W45" i="55"/>
  <c r="X45" i="55" s="1"/>
  <c r="W39" i="55"/>
  <c r="X39" i="55" s="1"/>
  <c r="AE39" i="55" s="1"/>
  <c r="W42" i="55"/>
  <c r="X42" i="55" s="1"/>
  <c r="AE42" i="55" s="1"/>
  <c r="W43" i="55"/>
  <c r="X43" i="55" s="1"/>
  <c r="AE43" i="55" s="1"/>
  <c r="W31" i="55"/>
  <c r="X31" i="55" s="1"/>
  <c r="AE31" i="55" s="1"/>
  <c r="W16" i="44"/>
  <c r="V16" i="44"/>
  <c r="N55" i="44"/>
  <c r="V55" i="44" s="1"/>
  <c r="AC46" i="55"/>
  <c r="AF46" i="55" s="1"/>
  <c r="X22" i="48"/>
  <c r="Y22" i="48" s="1"/>
  <c r="AB35" i="43"/>
  <c r="AC35" i="43" s="1"/>
  <c r="AC38" i="55"/>
  <c r="AF38" i="55" s="1"/>
  <c r="X31" i="48"/>
  <c r="Y31" i="48" s="1"/>
  <c r="X27" i="48"/>
  <c r="Y27" i="48" s="1"/>
  <c r="AC31" i="55"/>
  <c r="AF31" i="55" s="1"/>
  <c r="N38" i="55"/>
  <c r="S38" i="55" s="1"/>
  <c r="AC28" i="55"/>
  <c r="AF28" i="55" s="1"/>
  <c r="E35" i="40"/>
  <c r="Y23" i="48"/>
  <c r="R44" i="45"/>
  <c r="X44" i="45" s="1"/>
  <c r="R32" i="45"/>
  <c r="Z32" i="45" s="1"/>
  <c r="R41" i="45"/>
  <c r="Z41" i="45" s="1"/>
  <c r="R37" i="45"/>
  <c r="Z37" i="45" s="1"/>
  <c r="R45" i="45"/>
  <c r="Y45" i="45" s="1"/>
  <c r="Y31" i="45"/>
  <c r="R35" i="45"/>
  <c r="X35" i="45" s="1"/>
  <c r="R39" i="45"/>
  <c r="R33" i="45"/>
  <c r="X33" i="45" s="1"/>
  <c r="Z24" i="45"/>
  <c r="X24" i="45"/>
  <c r="Z23" i="45"/>
  <c r="Y22" i="45"/>
  <c r="Z22" i="45"/>
  <c r="X22" i="45"/>
  <c r="R36" i="45"/>
  <c r="X36" i="45" s="1"/>
  <c r="Y24" i="45"/>
  <c r="Y23" i="45"/>
  <c r="R42" i="45"/>
  <c r="X42" i="45" s="1"/>
  <c r="R29" i="45"/>
  <c r="Z17" i="43"/>
  <c r="AC17" i="43" s="1"/>
  <c r="F2" i="46"/>
  <c r="E28" i="40" s="1"/>
  <c r="X43" i="45"/>
  <c r="AB36" i="43"/>
  <c r="AC36" i="43" s="1"/>
  <c r="X31" i="45"/>
  <c r="Y40" i="45"/>
  <c r="X40" i="45"/>
  <c r="Y26" i="45"/>
  <c r="Z26" i="45"/>
  <c r="X26" i="45"/>
  <c r="Z43" i="45"/>
  <c r="AB30" i="43"/>
  <c r="AC30" i="43" s="1"/>
  <c r="Y21" i="45"/>
  <c r="X21" i="45"/>
  <c r="Z21" i="45"/>
  <c r="Z40" i="45"/>
  <c r="X27" i="45"/>
  <c r="Z27" i="45"/>
  <c r="Y27" i="45"/>
  <c r="X38" i="45"/>
  <c r="Y38" i="45"/>
  <c r="Z12" i="45"/>
  <c r="X12" i="45"/>
  <c r="Y12" i="45"/>
  <c r="Z34" i="45"/>
  <c r="Y34" i="45"/>
  <c r="X34" i="45"/>
  <c r="Z25" i="45"/>
  <c r="Y25" i="45"/>
  <c r="X25" i="45"/>
  <c r="Y10" i="43"/>
  <c r="X10" i="43"/>
  <c r="W10" i="43"/>
  <c r="X28" i="45"/>
  <c r="Z28" i="45"/>
  <c r="Y28" i="45"/>
  <c r="Q65" i="49"/>
  <c r="D2" i="49"/>
  <c r="E34" i="40" s="1"/>
  <c r="Y30" i="45"/>
  <c r="Z30" i="45"/>
  <c r="X30" i="45"/>
  <c r="AC30" i="55" l="1"/>
  <c r="AF30" i="55" s="1"/>
  <c r="AC32" i="55"/>
  <c r="AF32" i="55" s="1"/>
  <c r="AB26" i="43"/>
  <c r="AC26" i="43" s="1"/>
  <c r="AC27" i="55"/>
  <c r="AF27" i="55" s="1"/>
  <c r="AD45" i="55"/>
  <c r="AG45" i="55" s="1"/>
  <c r="X28" i="55"/>
  <c r="AE28" i="55" s="1"/>
  <c r="D4" i="65"/>
  <c r="F30" i="40" s="1"/>
  <c r="D3" i="65"/>
  <c r="E30" i="40" s="1"/>
  <c r="D3" i="64"/>
  <c r="E29" i="40" s="1"/>
  <c r="D4" i="64"/>
  <c r="F29" i="40" s="1"/>
  <c r="T13" i="44"/>
  <c r="E13" i="40" s="1"/>
  <c r="AB29" i="43"/>
  <c r="AC29" i="43" s="1"/>
  <c r="C2" i="44"/>
  <c r="E27" i="40" s="1"/>
  <c r="AD40" i="55"/>
  <c r="AG40" i="55" s="1"/>
  <c r="AD33" i="55"/>
  <c r="AG33" i="55" s="1"/>
  <c r="AB28" i="43"/>
  <c r="AC28" i="43" s="1"/>
  <c r="AD44" i="55"/>
  <c r="AG44" i="55" s="1"/>
  <c r="AE45" i="55"/>
  <c r="X38" i="55"/>
  <c r="AE38" i="55" s="1"/>
  <c r="AD42" i="55"/>
  <c r="AG42" i="55" s="1"/>
  <c r="X37" i="55"/>
  <c r="AE37" i="55" s="1"/>
  <c r="AD41" i="55"/>
  <c r="AG41" i="55" s="1"/>
  <c r="AD46" i="55"/>
  <c r="AG46" i="55" s="1"/>
  <c r="AD39" i="55"/>
  <c r="AG39" i="55" s="1"/>
  <c r="AD43" i="55"/>
  <c r="AG43" i="55" s="1"/>
  <c r="AE40" i="55"/>
  <c r="AD31" i="55"/>
  <c r="AG31" i="55" s="1"/>
  <c r="E4" i="43"/>
  <c r="F26" i="40" s="1"/>
  <c r="AD34" i="55"/>
  <c r="AG34" i="55" s="1"/>
  <c r="AD29" i="55"/>
  <c r="AG29" i="55" s="1"/>
  <c r="D2" i="48"/>
  <c r="E33" i="40" s="1"/>
  <c r="AA31" i="45"/>
  <c r="AB31" i="45" s="1"/>
  <c r="AA23" i="45"/>
  <c r="AB23" i="45" s="1"/>
  <c r="Y41" i="45"/>
  <c r="Y42" i="45"/>
  <c r="X41" i="45"/>
  <c r="Y37" i="45"/>
  <c r="Y44" i="45"/>
  <c r="Z44" i="45"/>
  <c r="X37" i="45"/>
  <c r="Y32" i="45"/>
  <c r="X32" i="45"/>
  <c r="Z33" i="45"/>
  <c r="Y33" i="45"/>
  <c r="Z42" i="45"/>
  <c r="Z45" i="45"/>
  <c r="AA43" i="45"/>
  <c r="AB43" i="45" s="1"/>
  <c r="X45" i="45"/>
  <c r="AA24" i="45"/>
  <c r="AB24" i="45" s="1"/>
  <c r="Z39" i="45"/>
  <c r="Y39" i="45"/>
  <c r="X39" i="45"/>
  <c r="Z35" i="45"/>
  <c r="Y35" i="45"/>
  <c r="AA22" i="45"/>
  <c r="AB22" i="45" s="1"/>
  <c r="AA21" i="45"/>
  <c r="AB21" i="45" s="1"/>
  <c r="Z36" i="45"/>
  <c r="Y29" i="45"/>
  <c r="Z29" i="45"/>
  <c r="X29" i="45"/>
  <c r="Y36" i="45"/>
  <c r="AA12" i="45"/>
  <c r="AB11" i="45" s="1"/>
  <c r="AA26" i="45"/>
  <c r="AB26" i="45" s="1"/>
  <c r="AA40" i="45"/>
  <c r="AB40" i="45" s="1"/>
  <c r="AA34" i="45"/>
  <c r="AB34" i="45" s="1"/>
  <c r="AA27" i="45"/>
  <c r="AB27" i="45" s="1"/>
  <c r="Z10" i="43"/>
  <c r="AA38" i="45"/>
  <c r="AB38" i="45" s="1"/>
  <c r="AA28" i="45"/>
  <c r="AB28" i="45" s="1"/>
  <c r="AF35" i="55"/>
  <c r="AD35" i="55"/>
  <c r="AG35" i="55" s="1"/>
  <c r="AA25" i="45"/>
  <c r="AB25" i="45" s="1"/>
  <c r="AA30" i="45"/>
  <c r="AB30" i="45" s="1"/>
  <c r="AF36" i="55"/>
  <c r="AD36" i="55"/>
  <c r="AG36" i="55" s="1"/>
  <c r="AD32" i="55" l="1"/>
  <c r="AG32" i="55" s="1"/>
  <c r="AD30" i="55"/>
  <c r="AG30" i="55" s="1"/>
  <c r="AD27" i="55"/>
  <c r="AG27" i="55" s="1"/>
  <c r="AD28" i="55"/>
  <c r="AG28" i="55" s="1"/>
  <c r="AD38" i="55"/>
  <c r="AG38" i="55" s="1"/>
  <c r="AD37" i="55"/>
  <c r="AA37" i="45"/>
  <c r="AB37" i="45" s="1"/>
  <c r="AA41" i="45"/>
  <c r="AB41" i="45" s="1"/>
  <c r="AA44" i="45"/>
  <c r="AB44" i="45" s="1"/>
  <c r="AA42" i="45"/>
  <c r="AB42" i="45" s="1"/>
  <c r="AA33" i="45"/>
  <c r="AB33" i="45" s="1"/>
  <c r="AA32" i="45"/>
  <c r="AB32" i="45" s="1"/>
  <c r="AA45" i="45"/>
  <c r="AB45" i="45" s="1"/>
  <c r="AA35" i="45"/>
  <c r="AB35" i="45" s="1"/>
  <c r="AA39" i="45"/>
  <c r="AB39" i="45" s="1"/>
  <c r="AA36" i="45"/>
  <c r="AB36" i="45" s="1"/>
  <c r="AA29" i="45"/>
  <c r="AB29" i="45" s="1"/>
  <c r="E4" i="45"/>
  <c r="F31" i="40" s="1"/>
  <c r="AC10" i="43"/>
  <c r="E3" i="43"/>
  <c r="E26" i="40" s="1"/>
  <c r="E9" i="40" s="1"/>
  <c r="F36" i="40" l="1"/>
  <c r="AG37" i="55"/>
  <c r="D2" i="55"/>
  <c r="E32" i="40" s="1"/>
  <c r="E11" i="40" s="1"/>
  <c r="E3" i="45"/>
  <c r="E31" i="40" s="1"/>
  <c r="E10" i="40" s="1"/>
  <c r="E7" i="40" l="1"/>
  <c r="E22" i="40"/>
  <c r="E36" i="40"/>
  <c r="E20" i="40" l="1"/>
  <c r="E21"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tc={2065AF33-14C5-F14E-9ADF-CB21F2B0725E}</author>
    <author>tc={F0D2679C-74AE-CC48-82AD-1EAD1610E9D3}</author>
  </authors>
  <commentList>
    <comment ref="D45" authorId="0" shapeId="0" xr:uid="{00000000-0006-0000-0100-000001000000}">
      <text>
        <r>
          <rPr>
            <b/>
            <sz val="10"/>
            <color rgb="FF000000"/>
            <rFont val="Tahoma"/>
            <family val="2"/>
          </rPr>
          <t>Microsoft Office User:</t>
        </r>
        <r>
          <rPr>
            <sz val="10"/>
            <color rgb="FF000000"/>
            <rFont val="Tahoma"/>
            <family val="2"/>
          </rPr>
          <t xml:space="preserve">
</t>
        </r>
        <r>
          <rPr>
            <sz val="10"/>
            <color rgb="FF000000"/>
            <rFont val="Tahoma"/>
            <family val="2"/>
          </rPr>
          <t>10 US therms = 1 MMBtu</t>
        </r>
      </text>
    </comment>
    <comment ref="C467" authorId="1" shapeId="0" xr:uid="{2065AF33-14C5-F14E-9ADF-CB21F2B0725E}">
      <text>
        <t>[Threaded comment]
Your version of Excel allows you to read this threaded comment; however, any edits to it will get removed if the file is opened in a newer version of Excel. Learn more: https://go.microsoft.com/fwlink/?linkid=870924
Comment:
    .06 short tons of CO2 per ton of grapes
Convert to per standard bottle, divide by 720 bottles produced per ton</t>
      </text>
    </comment>
    <comment ref="D467" authorId="2" shapeId="0" xr:uid="{F0D2679C-74AE-CC48-82AD-1EAD1610E9D3}">
      <text>
        <t>[Threaded comment]
Your version of Excel allows you to read this threaded comment; however, any edits to it will get removed if the file is opened in a newer version of Excel. Learn more: https://go.microsoft.com/fwlink/?linkid=870924
Comment:
    Convert to MT, convert to cases</t>
      </text>
    </comment>
  </commentList>
</comments>
</file>

<file path=xl/sharedStrings.xml><?xml version="1.0" encoding="utf-8"?>
<sst xmlns="http://schemas.openxmlformats.org/spreadsheetml/2006/main" count="1814" uniqueCount="942">
  <si>
    <t>Jan</t>
  </si>
  <si>
    <t>Feb</t>
  </si>
  <si>
    <t>Mar</t>
  </si>
  <si>
    <t>Apr</t>
  </si>
  <si>
    <t>May</t>
  </si>
  <si>
    <t>Jun</t>
  </si>
  <si>
    <t>Jul</t>
  </si>
  <si>
    <t>Aug</t>
  </si>
  <si>
    <t>Sep</t>
  </si>
  <si>
    <t>Oct</t>
  </si>
  <si>
    <t>Nov</t>
  </si>
  <si>
    <t>Dec</t>
  </si>
  <si>
    <t>TOTAL</t>
  </si>
  <si>
    <t>General Information</t>
  </si>
  <si>
    <t>Purchased Electricity</t>
  </si>
  <si>
    <t>Freight Transport</t>
  </si>
  <si>
    <t>Meter #</t>
  </si>
  <si>
    <t>GWP</t>
  </si>
  <si>
    <t>MT</t>
  </si>
  <si>
    <t>Domestic Refrigeration</t>
  </si>
  <si>
    <t>Stand-alone Commercial Applications</t>
  </si>
  <si>
    <t>Medium &amp; Large Commercial Refrigeration</t>
  </si>
  <si>
    <t>Transport Refrigeration</t>
  </si>
  <si>
    <t>Chillers</t>
  </si>
  <si>
    <t>Kerosene</t>
  </si>
  <si>
    <t>Crude Oil</t>
  </si>
  <si>
    <t>Propane</t>
  </si>
  <si>
    <t>Ethane</t>
  </si>
  <si>
    <t>Isobutane</t>
  </si>
  <si>
    <t>Butane</t>
  </si>
  <si>
    <t>(gal)</t>
  </si>
  <si>
    <t>Units of Fuel</t>
  </si>
  <si>
    <t>(lbs)</t>
  </si>
  <si>
    <t>HFC-23</t>
  </si>
  <si>
    <t>HFC-32</t>
  </si>
  <si>
    <t>HFC-41</t>
  </si>
  <si>
    <t>HFC-43-10mee</t>
  </si>
  <si>
    <t>HFC-125</t>
  </si>
  <si>
    <t>HFC-134</t>
  </si>
  <si>
    <t>HFC-134a</t>
  </si>
  <si>
    <t>HFC-143</t>
  </si>
  <si>
    <t>HFC-152</t>
  </si>
  <si>
    <t>HFC-152a</t>
  </si>
  <si>
    <t>HFC-161</t>
  </si>
  <si>
    <t>HFC-227ea</t>
  </si>
  <si>
    <t>HFC-236cb</t>
  </si>
  <si>
    <t>HFC-236ea</t>
  </si>
  <si>
    <t>HFC-236fa</t>
  </si>
  <si>
    <t>HFC-245ca</t>
  </si>
  <si>
    <t>HFC-245fa</t>
  </si>
  <si>
    <t>HFC-365mfc</t>
  </si>
  <si>
    <t>R-401A</t>
  </si>
  <si>
    <t>R-401B</t>
  </si>
  <si>
    <t>R-401C</t>
  </si>
  <si>
    <t>R-402A</t>
  </si>
  <si>
    <t>R-402B</t>
  </si>
  <si>
    <t>R-403B</t>
  </si>
  <si>
    <t>R-404A</t>
  </si>
  <si>
    <t>R-407A</t>
  </si>
  <si>
    <t>R-407B</t>
  </si>
  <si>
    <t>R-407C</t>
  </si>
  <si>
    <t>R-407E</t>
  </si>
  <si>
    <t>R-408A</t>
  </si>
  <si>
    <t>R-409A</t>
  </si>
  <si>
    <t>R-410A</t>
  </si>
  <si>
    <t>R-410B</t>
  </si>
  <si>
    <t>R-411A</t>
  </si>
  <si>
    <t>R-411B</t>
  </si>
  <si>
    <t>R-413A</t>
  </si>
  <si>
    <t>R-417A</t>
  </si>
  <si>
    <t>R-500</t>
  </si>
  <si>
    <t>R-502</t>
  </si>
  <si>
    <t>R-504</t>
  </si>
  <si>
    <t>R-508B</t>
  </si>
  <si>
    <t>Operating EF</t>
  </si>
  <si>
    <t>Equipment Description</t>
  </si>
  <si>
    <t>Equipment's Total Refrigerant Capacity (lbs)</t>
  </si>
  <si>
    <t>Stationary Combustion</t>
  </si>
  <si>
    <t>Scope 1</t>
  </si>
  <si>
    <t>Scope 2</t>
  </si>
  <si>
    <t>Scope 3</t>
  </si>
  <si>
    <t>Year</t>
  </si>
  <si>
    <t>Electric Utility</t>
  </si>
  <si>
    <t>Natural Gas Utility</t>
  </si>
  <si>
    <t>Biodiesel (B50)</t>
  </si>
  <si>
    <t>Units</t>
  </si>
  <si>
    <t>Biogenic</t>
  </si>
  <si>
    <t>Short tons</t>
  </si>
  <si>
    <t>lbs to MT</t>
  </si>
  <si>
    <t>Calendar</t>
  </si>
  <si>
    <t>lbs/MWh**</t>
  </si>
  <si>
    <t>GHG</t>
  </si>
  <si>
    <t>Fuel</t>
  </si>
  <si>
    <t>kg CO2/gal</t>
  </si>
  <si>
    <t>unit</t>
  </si>
  <si>
    <t>gal</t>
  </si>
  <si>
    <t>therm</t>
  </si>
  <si>
    <t>short ton</t>
  </si>
  <si>
    <t>LPG</t>
  </si>
  <si>
    <t>Lubricants</t>
  </si>
  <si>
    <t>Natural Gas</t>
  </si>
  <si>
    <t>Other Oil</t>
  </si>
  <si>
    <t>Wood, Wood Waste</t>
  </si>
  <si>
    <t>Perfluoromethane (CF4)</t>
  </si>
  <si>
    <t>Perfluoroethane (C2F6)</t>
  </si>
  <si>
    <t>Perfluoropropane (C3F8)</t>
  </si>
  <si>
    <t>Perfluorobutane (C4F10)</t>
  </si>
  <si>
    <t>Perfluorocyclobutane (c-C4F8)</t>
  </si>
  <si>
    <t>Perfluoropentane (C5F12)</t>
  </si>
  <si>
    <t>Perfluorohexane (C6F14)</t>
  </si>
  <si>
    <t>R-507 or R-507A</t>
  </si>
  <si>
    <t>Refrigerant</t>
  </si>
  <si>
    <t>• Click + to expand</t>
  </si>
  <si>
    <t xml:space="preserve">Mobile Air Conditioning </t>
  </si>
  <si>
    <t>Refrigeration Type</t>
  </si>
  <si>
    <t>Industrial Refrigeration (incl. processing, cold storage)</t>
  </si>
  <si>
    <t>Residential &amp; Commercial A/C (incl. heat pumps)</t>
  </si>
  <si>
    <t>(short ton)</t>
  </si>
  <si>
    <t>LNG</t>
  </si>
  <si>
    <t>Report Notes</t>
  </si>
  <si>
    <t>Total Vineyard Acreage (acres)</t>
  </si>
  <si>
    <t>MMBtu/unit**</t>
  </si>
  <si>
    <t>biogenic
kg CO2/gal</t>
  </si>
  <si>
    <t>Meter Total kWh</t>
  </si>
  <si>
    <t>Meter Total MWh</t>
  </si>
  <si>
    <t>Notes</t>
  </si>
  <si>
    <t>Vehicle Type</t>
  </si>
  <si>
    <t>Motorcycle</t>
  </si>
  <si>
    <t>Bus</t>
  </si>
  <si>
    <t>vehicle-mile</t>
  </si>
  <si>
    <t>passenger-mile</t>
  </si>
  <si>
    <t xml:space="preserve">A. Passenger car: includes passenger cars, minivans, SUVs, and small pickup trucks (vehicles with wheelbase less than 121 inches). </t>
  </si>
  <si>
    <t xml:space="preserve">B. Light-duty truck: includes full-size pickup trucks, full-size vans, and extended-length SUVs (vehicles with wheelbase greater than 121 inches). </t>
  </si>
  <si>
    <t xml:space="preserve"> </t>
  </si>
  <si>
    <t>G. Medium haul &gt;= 300 miles, &lt; 2300 miles</t>
  </si>
  <si>
    <t>D. Commuter rail: rail service between a central city and adjacent suburbs (also called regional rail or suburban rail)</t>
  </si>
  <si>
    <t>E. Transit rail: rail typically within an urban center, such as subways, elevated railways, metropolitan railways (metro), streetcars, trolley cars, and tramways</t>
  </si>
  <si>
    <t>C. Intercity rail: long-distance rail between major cities, such as Amtrak</t>
  </si>
  <si>
    <t>F. Short haul &lt; 300 miles</t>
  </si>
  <si>
    <t>H. Long haul &gt;= 2300 miles</t>
  </si>
  <si>
    <t>Medium- and heavy-duty truck</t>
  </si>
  <si>
    <t>Aircraft</t>
  </si>
  <si>
    <t>Rail</t>
  </si>
  <si>
    <t>ton-mile</t>
  </si>
  <si>
    <t>Freight Transport Emissions Calculation</t>
  </si>
  <si>
    <t>Product Weight
(short tons)</t>
  </si>
  <si>
    <t>Passenger car*</t>
  </si>
  <si>
    <t>Light-duty truck**</t>
  </si>
  <si>
    <t xml:space="preserve">*Passenger car: includes passenger cars, minivans, SUVs, and small pickup trucks (vehicles with wheelbase less than 121 inches). </t>
  </si>
  <si>
    <t>**Light-duty truck: includes full-size pickup trucks, full-size vans, and extended-length SUVs (vehicles with wheelbase greater than 121 inches).</t>
  </si>
  <si>
    <t xml:space="preserve">*Passenger car includes passenger cars, minivans, SUVs, and small pickup trucks (vehicles with wheelbase less than 121 inches). </t>
  </si>
  <si>
    <t xml:space="preserve">**Light-duty truck includes full-size pickup trucks, full-size vans, and extended-length SUVs (vehicles with wheelbase greater than 121 inches). </t>
  </si>
  <si>
    <t>biogenic MTCO2</t>
  </si>
  <si>
    <t>Off-site Waste</t>
  </si>
  <si>
    <t>Off-site Waste Emissions Calculation</t>
  </si>
  <si>
    <t>Recycled corrugated cardboard</t>
  </si>
  <si>
    <t>Recycled glass</t>
  </si>
  <si>
    <t>Commingled recycling</t>
  </si>
  <si>
    <t>Landfilled material</t>
  </si>
  <si>
    <t>Off-site Waste Emissions Factors</t>
  </si>
  <si>
    <t>Refrigeration System Efficiency Factors</t>
  </si>
  <si>
    <t>Business Travel Emissions Factors</t>
  </si>
  <si>
    <t>Emissions by Category</t>
  </si>
  <si>
    <t>Recycled mixed office paper</t>
  </si>
  <si>
    <t>Conversion Factors</t>
  </si>
  <si>
    <t>short tons to MT</t>
  </si>
  <si>
    <t>Option B: Default Loss Rate Method</t>
  </si>
  <si>
    <t>Option A: Refrigerant Weight Method</t>
  </si>
  <si>
    <t>Retirement factor</t>
  </si>
  <si>
    <t>Retired?</t>
  </si>
  <si>
    <t>Operating duration (years)</t>
  </si>
  <si>
    <t>Install without charge?</t>
  </si>
  <si>
    <t>Recovery factor</t>
  </si>
  <si>
    <t>Install factor</t>
  </si>
  <si>
    <t>Report Year</t>
  </si>
  <si>
    <t>Start</t>
  </si>
  <si>
    <t>End</t>
  </si>
  <si>
    <t>Transport Mode (drop-down)</t>
  </si>
  <si>
    <t>Unit (drop-down)</t>
  </si>
  <si>
    <t>R-508A</t>
  </si>
  <si>
    <t>R-407D</t>
  </si>
  <si>
    <t>Electric Emissions Factor</t>
  </si>
  <si>
    <t>Total CO2e</t>
  </si>
  <si>
    <t>MTCO2e/MWh</t>
  </si>
  <si>
    <t>MT/MWh</t>
  </si>
  <si>
    <t>Lbs.</t>
  </si>
  <si>
    <t>Data entry to verify and update regularly</t>
  </si>
  <si>
    <t>SOURCE</t>
  </si>
  <si>
    <t>Legend</t>
  </si>
  <si>
    <t>red text</t>
  </si>
  <si>
    <t>grey text</t>
  </si>
  <si>
    <t>Source: Review and update regularly</t>
  </si>
  <si>
    <t>Fossil-based or fossil-mix</t>
  </si>
  <si>
    <t>black text</t>
  </si>
  <si>
    <t>Constant - will not change</t>
  </si>
  <si>
    <t>Heading or text</t>
  </si>
  <si>
    <t>Total Renewable MWh</t>
  </si>
  <si>
    <t>Total Renewable kWh</t>
  </si>
  <si>
    <t>SCOPE 1</t>
  </si>
  <si>
    <t>SCOPE 2</t>
  </si>
  <si>
    <t>SCOPE 3</t>
  </si>
  <si>
    <t>TOTAL miles</t>
  </si>
  <si>
    <t>https://www.epa.gov/sites/production/files/2018-03/documents/emission-factors_mar_2018_0.pdf</t>
  </si>
  <si>
    <t>SOURCE: EPA Emissions Factors for Greenhouse Gas Inventories. TABLE 8. March 9 2018.</t>
  </si>
  <si>
    <t>*</t>
  </si>
  <si>
    <t>**</t>
  </si>
  <si>
    <t>**SOURCE: IPCC AR4 via EPA Emissions Factors for Greenhouse Gas Inventories. TABLE 10b.March 9 2018.</t>
  </si>
  <si>
    <t>SOURCE: The Climate Registry 2018 Default Emissions Factors, Table 16.2</t>
  </si>
  <si>
    <t>https://www.theclimateregistry.org/wp-content/uploads/2018/06/The-Climate-Registry-2018-Default-Emission-Factor-Document.pdf</t>
  </si>
  <si>
    <t>SOURCE: EPA Emissions Factors for Greenhouse Gas Inventories. TABLE 9. March 9 2018.</t>
  </si>
  <si>
    <t>100-Year GWP</t>
  </si>
  <si>
    <t>http://www.climatechange2013.org/images/report/WG1AR5_ALL_FINAL.pdf</t>
  </si>
  <si>
    <t>SOURCE: EPA Emissions Factors for Greenhouse Gas Inventories. TABLE 6: NWPP. March 9 2018</t>
  </si>
  <si>
    <t>Based on data entered (formula, etc.)</t>
  </si>
  <si>
    <t>Emissions from 100% recycled glass</t>
  </si>
  <si>
    <t>Emissions from 100% virgin glass</t>
  </si>
  <si>
    <t>Custom/other</t>
  </si>
  <si>
    <t>Ratio virgin glass</t>
  </si>
  <si>
    <t>Shipping distance</t>
  </si>
  <si>
    <t>Domestic, West Coast</t>
  </si>
  <si>
    <t>Domestic, Central</t>
  </si>
  <si>
    <t>Domestic, East Coast</t>
  </si>
  <si>
    <t>Mexico</t>
  </si>
  <si>
    <t>Weight(in grams)</t>
  </si>
  <si>
    <t>Individual bottle weight in grams</t>
  </si>
  <si>
    <t>Ardagh Standard Burgundy 1.5L</t>
  </si>
  <si>
    <t>Ardagh Burgundy Traditions 1.5L</t>
  </si>
  <si>
    <t>Ardagh Burgundy Aura 750ml</t>
  </si>
  <si>
    <t>Ardagh Burgundy Bliss 750ml</t>
  </si>
  <si>
    <t>Ardagh Burgundy Cheyanne 750ml</t>
  </si>
  <si>
    <t>Ardagh Burgundy Classique 750ml</t>
  </si>
  <si>
    <t>Ardagh Burgundy Collette 750ml</t>
  </si>
  <si>
    <t>Ardagh Burgundy Essence 750ml</t>
  </si>
  <si>
    <t>Ardagh Burgundy Evolution 750ml</t>
  </si>
  <si>
    <t>Ardagh Burgundy Grace 750ml</t>
  </si>
  <si>
    <t>Ardagh Burgundy Inspiration 750ml</t>
  </si>
  <si>
    <t>Ardagh Burgundy Oregon 750ml</t>
  </si>
  <si>
    <t>Ardagh Hock California 750ml</t>
  </si>
  <si>
    <t>Ardagh Hock Spezielle Eco 750ml</t>
  </si>
  <si>
    <t>Ardagh Hock Spezielle 750ml</t>
  </si>
  <si>
    <t>Ardagh Classic Sparkling 750ml</t>
  </si>
  <si>
    <t>Ardagh Modern Sparkling 750ml</t>
  </si>
  <si>
    <t>Ardagh Inspiration Sparkling 750ml</t>
  </si>
  <si>
    <t>Ardagh Standard Sparkling 750ml</t>
  </si>
  <si>
    <t>Ardagh Sparkling Magnum 1.5L</t>
  </si>
  <si>
    <t>Saver Burgundy Atlas 750ml</t>
  </si>
  <si>
    <t>Saver Burgundy Bourgeoise 750ml</t>
  </si>
  <si>
    <t>Saver Hock Altus 750ml</t>
  </si>
  <si>
    <t>Saver Hock Tradition 750ml</t>
  </si>
  <si>
    <t>Saxco Burgundy Classique 750ml</t>
  </si>
  <si>
    <t>Saxco Burgundy Symphony 750ml</t>
  </si>
  <si>
    <t>Saxco Burgundy WP501828 750ml</t>
  </si>
  <si>
    <t>Saxco Burgundy Tradition 750ml</t>
  </si>
  <si>
    <t>Saxco Burgundy SX6075 750ml</t>
  </si>
  <si>
    <t>Saxco Burgundy SX6068 750ml</t>
  </si>
  <si>
    <t>Saxco Burgundy Carree Chardonnay 750ml</t>
  </si>
  <si>
    <t>Saxco Burgundy Light Cabo 750ml</t>
  </si>
  <si>
    <t>Saxco Burgundy Agape 750ml</t>
  </si>
  <si>
    <t>Saxco Burgundy Grand Millesime 750ml</t>
  </si>
  <si>
    <t>Saxco Burgundy WP501831 750ml</t>
  </si>
  <si>
    <t>Saxco Burgundy SX6512 750ml</t>
  </si>
  <si>
    <t>Saxco Burgundy SX6012 750ml</t>
  </si>
  <si>
    <t>Saxco Burgundy SX6575 750ml</t>
  </si>
  <si>
    <t>Saxco Burgundy SX6065 750ml</t>
  </si>
  <si>
    <t>Saxco Burgundy WAU 750ml</t>
  </si>
  <si>
    <t>Saxco Burgundy WP2407 750ml</t>
  </si>
  <si>
    <t>Saxco Sparkling WP106 750ml</t>
  </si>
  <si>
    <t>Saxco Bordeaux Optima W1503 750ml</t>
  </si>
  <si>
    <t>Saxco Bordeaux WP2352 750ml</t>
  </si>
  <si>
    <t>Saxco Bordeaux Tapered Etude 750ml</t>
  </si>
  <si>
    <t>Saxco Bordeaux Tapered Viva 750ml</t>
  </si>
  <si>
    <t>Saxco Bordeaux Tapered WP138 750ml</t>
  </si>
  <si>
    <t>Saxco Bordeaux Tapered Tall WCF 750ml</t>
  </si>
  <si>
    <t>Saxco Bordeaux Tapered WCF 750ml</t>
  </si>
  <si>
    <t>Saxco Bordeaux Classique 750ml</t>
  </si>
  <si>
    <t>Saxco Bordeaux Tapered Largo 750ml</t>
  </si>
  <si>
    <t>Saxco Hock SX4502 750ml</t>
  </si>
  <si>
    <t>Saxco Hock Tall W13 750ml</t>
  </si>
  <si>
    <t>Saxco Hock SX4102B 750ml</t>
  </si>
  <si>
    <t>Saxco Bordeaux Tapered 0622 375ml</t>
  </si>
  <si>
    <t>Saxco Burgundy Prestige 375ml</t>
  </si>
  <si>
    <t>Saxco Burgundy 375ml</t>
  </si>
  <si>
    <t>Saxco Bordeaux 1680 375ml</t>
  </si>
  <si>
    <t>Saxco Bordeaux 375ml</t>
  </si>
  <si>
    <t>Saxco Bordeaux Tapered Premiere 375ml</t>
  </si>
  <si>
    <t>Saxco Bordeaux 1.5L</t>
  </si>
  <si>
    <t>Saxco Flute 1.5L</t>
  </si>
  <si>
    <t>Saxco Burgundy Magnum Tradition 1.5L</t>
  </si>
  <si>
    <t>Saxco Burgundy 1.5L</t>
  </si>
  <si>
    <t>Saxco Burgundy Classique 1.5L</t>
  </si>
  <si>
    <t>Saxco Bordeaux Tradition 1.5L</t>
  </si>
  <si>
    <t>Saxco Burgundy Tapered Grand Cru 1.5L</t>
  </si>
  <si>
    <t>Saxco Burgundy 1035 3L</t>
  </si>
  <si>
    <t>Saxco Burgundy 5L</t>
  </si>
  <si>
    <t>Provider &amp; Bottle type</t>
  </si>
  <si>
    <t>Bottle Type (drop-down)</t>
  </si>
  <si>
    <t>Number of bottles in a case</t>
  </si>
  <si>
    <t>Other/Unknown</t>
  </si>
  <si>
    <t>Name of REC/Green Power Purchase Program (if applicable)</t>
  </si>
  <si>
    <t>Total bottles kg of glass</t>
  </si>
  <si>
    <t>China and Eastern Asia</t>
  </si>
  <si>
    <t>Domestic</t>
  </si>
  <si>
    <t>Name of Renewable Energy Program</t>
  </si>
  <si>
    <t>Subtotal Therms</t>
  </si>
  <si>
    <t>Do not include produced energy that is not sold back to the grid.</t>
  </si>
  <si>
    <t>Global Warming Potentials &amp; Refrigerants</t>
  </si>
  <si>
    <t>R-22 (HCFC-22)</t>
  </si>
  <si>
    <t>R-12 (CFC-12)</t>
  </si>
  <si>
    <t>yes/no</t>
  </si>
  <si>
    <t>Yes</t>
  </si>
  <si>
    <t>No</t>
  </si>
  <si>
    <t>Number of months of year in Operation</t>
  </si>
  <si>
    <t>Installation EF (lost during installation)</t>
  </si>
  <si>
    <t>Operating EF (lost during operation)</t>
  </si>
  <si>
    <t>Retirement factor (lost during retirement)</t>
  </si>
  <si>
    <t>Recovery factor (captured during retirement)</t>
  </si>
  <si>
    <t>Glass</t>
  </si>
  <si>
    <t>http://www.linde-gas.com/en/legacy/attachment?files=tcm:Ps17-111483,tcm:s17-111483,tcm:17-111483</t>
  </si>
  <si>
    <t>*SOURCE: IPCC AR5 Report Appendix 8.A Table 8.A.1 (pgs. 731-737). Released 2014.</t>
  </si>
  <si>
    <t>Common Combustion Emissions Factors (see below for common mobile combustion sources)</t>
  </si>
  <si>
    <t>Gasoline/Ethanol (E10)*</t>
  </si>
  <si>
    <t>Diesel/Biodiesel (B5)**</t>
  </si>
  <si>
    <t>Motor Gasoline***</t>
  </si>
  <si>
    <t>Ethanol (E100)</t>
  </si>
  <si>
    <t>Ethanol (E85)</t>
  </si>
  <si>
    <t>Biodiesel (B20)</t>
  </si>
  <si>
    <t>Biodiesel (B100)</t>
  </si>
  <si>
    <t xml:space="preserve">*** Pure motor gasoline and diesel are very uncommon except in specialty vehicles such as boats, heavy-duty equipment, etc. </t>
  </si>
  <si>
    <t>"Mixed MSW"</t>
  </si>
  <si>
    <t>"Mixed organics"</t>
  </si>
  <si>
    <t>https://www.epa.gov/warm/versions-waste-reduction-model-warm</t>
  </si>
  <si>
    <t>Western Europe</t>
  </si>
  <si>
    <t>Other/Unknown (average)</t>
  </si>
  <si>
    <t>Ocean freight</t>
  </si>
  <si>
    <t>Number of cases</t>
  </si>
  <si>
    <t>Ton-miles</t>
  </si>
  <si>
    <t>Shipping method</t>
  </si>
  <si>
    <t>MT CO2e emissions from truck freight</t>
  </si>
  <si>
    <t>MT CO2e emissions from ocean freight</t>
  </si>
  <si>
    <t>Ton-miles of combination method</t>
  </si>
  <si>
    <t>MT CO2e emissions from combination method</t>
  </si>
  <si>
    <t>Average - used for glass shipping only</t>
  </si>
  <si>
    <t>https://www.epa.gov/sites/production/files/2016-03/documents/warm_v14_containers_packaging_non-durable_goods_materials.pdf</t>
  </si>
  <si>
    <t>https://www.oregon.gov/deq/FilterDocs/PEF-Wine-FullReport.pdf</t>
  </si>
  <si>
    <t xml:space="preserve">Enter the amount of each bottle type purchased for the calendar year. </t>
  </si>
  <si>
    <t>Glass production emissions MT CO2e</t>
  </si>
  <si>
    <t>Total shipping emissions MT CO2e</t>
  </si>
  <si>
    <t>www.goodcompany.com</t>
  </si>
  <si>
    <t>GHG mitigation strategies implemented this year:</t>
  </si>
  <si>
    <t>Approximate distance to Dallas, TX or Chicago, IL</t>
  </si>
  <si>
    <t>Approximate distance to Philadelphia, PA or Charlotte, NC</t>
  </si>
  <si>
    <t>Approximate distance to Mexico City</t>
  </si>
  <si>
    <t>Reasonable radius within Pacific Northwest</t>
  </si>
  <si>
    <t>Approximate distance to Hong Kong</t>
  </si>
  <si>
    <t>Vehicle Type description in-tab</t>
  </si>
  <si>
    <t>Passenger car</t>
  </si>
  <si>
    <t>Light-duty truck</t>
  </si>
  <si>
    <t>Intercity rail</t>
  </si>
  <si>
    <t>Commuter rail</t>
  </si>
  <si>
    <t>Transit rail</t>
  </si>
  <si>
    <t>Air travel: less than 300 mile trip</t>
  </si>
  <si>
    <t>Air travel: 300-2300 mile trip</t>
  </si>
  <si>
    <t>Air travel: 2300+ mile trip</t>
  </si>
  <si>
    <t>Vehicle Type*</t>
  </si>
  <si>
    <t>*Descriptions:</t>
  </si>
  <si>
    <t>Trip date or ID</t>
  </si>
  <si>
    <t>Description</t>
  </si>
  <si>
    <t>Freight Product Transport Emissions Factors (Upstream Transportation and Distribution and Downstream Transportation and Distribution)</t>
  </si>
  <si>
    <t>Used for freight transport and glass</t>
  </si>
  <si>
    <t>Total</t>
  </si>
  <si>
    <t xml:space="preserve">Graphic source: Oregon DEQ </t>
  </si>
  <si>
    <t>Product origin</t>
  </si>
  <si>
    <t>Approximate distance to Panama Canal then to France</t>
  </si>
  <si>
    <t>Country of origin:</t>
  </si>
  <si>
    <t>Ton-miles of truck freight only</t>
  </si>
  <si>
    <t>Ton-miles of ocean freight only</t>
  </si>
  <si>
    <t>MT CO2e emissions from rail freight</t>
  </si>
  <si>
    <t>Shipped from/Product Origin 
(drop-down)</t>
  </si>
  <si>
    <t>Ratio recycled glass</t>
  </si>
  <si>
    <t>Avg. 750ml bottle weight in grams</t>
  </si>
  <si>
    <t>Manufacturing energy savings from 100% recycled content</t>
  </si>
  <si>
    <t>Emissions</t>
  </si>
  <si>
    <t>Bottle weights</t>
  </si>
  <si>
    <t>***SOURCE: Wynne Peterson-Nedry, LIVE Member. Email Fall 2018.</t>
  </si>
  <si>
    <t>***</t>
  </si>
  <si>
    <t>Approximate miles****</t>
  </si>
  <si>
    <t>****SOURCE: Google Maps and https://www.distancefromto.net/</t>
  </si>
  <si>
    <t>MT CO2e per kg glass based on average bottle weight</t>
  </si>
  <si>
    <t>Mean emissions in MT CO2e (100% virgin glass)</t>
  </si>
  <si>
    <t>Mean emissions in MT CO2e ( 100% recycled glass)</t>
  </si>
  <si>
    <t>Shipping distance and method</t>
  </si>
  <si>
    <t>Glass production emissions MT CO₂e</t>
  </si>
  <si>
    <t>Average distance</t>
  </si>
  <si>
    <t>Shipping Method</t>
  </si>
  <si>
    <t>Aircraft freight</t>
  </si>
  <si>
    <t>Combination/average</t>
  </si>
  <si>
    <t>Train freight</t>
  </si>
  <si>
    <t>Truck</t>
  </si>
  <si>
    <t>Ton-miles of rail/train freight only</t>
  </si>
  <si>
    <t>Ton-miles of air freight only</t>
  </si>
  <si>
    <t>MT CO2e emissions from air freight</t>
  </si>
  <si>
    <t>Shipping method (drop-down)</t>
  </si>
  <si>
    <t>lbs. to short tons</t>
  </si>
  <si>
    <t>lbs.</t>
  </si>
  <si>
    <t>short tons</t>
  </si>
  <si>
    <t>=</t>
  </si>
  <si>
    <t>Typical amount of cullet (recycled glass):</t>
  </si>
  <si>
    <t>http://www.gpi.org/sites/default/files/N-American_Glass_Container_LCA.pdf</t>
  </si>
  <si>
    <t>% cullet (recycled content) 
(drop-down)</t>
  </si>
  <si>
    <t>LIVE Greenhouse Gas (GHG) Inventory Workbook</t>
  </si>
  <si>
    <t>Additional notes:</t>
  </si>
  <si>
    <t>* Standard gasoline is Ethanol (E10).</t>
  </si>
  <si>
    <t>** Standard diesel is Biodiesel (B5).</t>
  </si>
  <si>
    <t>(therms)</t>
  </si>
  <si>
    <t xml:space="preserve">Convert lbs. to short tons: </t>
  </si>
  <si>
    <t>grams</t>
  </si>
  <si>
    <t xml:space="preserve">Convert ounces to grams: </t>
  </si>
  <si>
    <t>ounces</t>
  </si>
  <si>
    <t>Percent Recycled Content (for drop-down menu)</t>
  </si>
  <si>
    <t>**SOURCE: EPA February 2016, Based on Exhibit 1-2, Documentation for Greenhouse Gas Emission and Energy Factors Used in the Waste Reduction Model (WARM)</t>
  </si>
  <si>
    <t>(for drop-down menu)</t>
  </si>
  <si>
    <t>Source</t>
  </si>
  <si>
    <t>Motor Diesel***</t>
  </si>
  <si>
    <t>Motor Diesel</t>
  </si>
  <si>
    <t>Recycled content varies greatly by supplier. Use this guide only if you can not find the specifications from your supplier.</t>
  </si>
  <si>
    <t>***SOURCE: IPCC AR4 via Linde Gas</t>
  </si>
  <si>
    <t>Calculation tabs</t>
  </si>
  <si>
    <t>Calculation/result (not visible to user)</t>
  </si>
  <si>
    <t>https://www.epa.gov/energy/egrid-subregion-representational-map</t>
  </si>
  <si>
    <t>MT CO₂e total emissions</t>
  </si>
  <si>
    <t xml:space="preserve"> Vehicle Emissions Calculation</t>
  </si>
  <si>
    <t xml:space="preserve"> Stationary Combustion Emissions Calculation | Natural Gas Purchased</t>
  </si>
  <si>
    <t xml:space="preserve"> Stationary Combustion Emissions Calculation | Other Fuels</t>
  </si>
  <si>
    <t xml:space="preserve"> Notes</t>
  </si>
  <si>
    <t xml:space="preserve"> Fugitive Emissions Calculation</t>
  </si>
  <si>
    <t xml:space="preserve"> Renewable Energy Produced and Sold Back to the Grid or Credits Purchased</t>
  </si>
  <si>
    <t xml:space="preserve"> Purchased Electricity Emissions Calculation</t>
  </si>
  <si>
    <t>Constant from another tab used in a calculation (not visible to user)</t>
  </si>
  <si>
    <t>http://www.sustainablewinegrowing.org/docs/California_Wine_Executive_Summary.pdf</t>
  </si>
  <si>
    <t xml:space="preserve">Graphic source: </t>
  </si>
  <si>
    <t>CO₂ (kg/MT-mile)</t>
  </si>
  <si>
    <t>Average</t>
  </si>
  <si>
    <t>Administrator Panel</t>
  </si>
  <si>
    <t>Waterborne Craft (Ocean freight)</t>
  </si>
  <si>
    <t>NOTE: Ton-miles are short tons. Vehicle-mile factors are appropriate to use when the entire vehicle is dedicated to transporting the reporting company's product.  Ton-mile factors are appropriate when the vehicle is shared with products from other companies.</t>
  </si>
  <si>
    <t>Freight mode has a significant impact on emissions. The graphic above shows how the average emissions per metric ton-mile varies greatly by mode.</t>
  </si>
  <si>
    <t>Total CO₂e per unit</t>
  </si>
  <si>
    <t>Vehicle-miles</t>
  </si>
  <si>
    <t>Travel mode has a significant impact on emissions. The graphic above shows how the average emissions per passenger-mile varies greatly by mode.</t>
  </si>
  <si>
    <t>Total CO₂e per passenger-mile</t>
  </si>
  <si>
    <t>Shipping emissions MT CO₂e</t>
  </si>
  <si>
    <t>For graphics:</t>
  </si>
  <si>
    <t>For graphic on freight transport and glass tabs</t>
  </si>
  <si>
    <t>For graphic on business travel tab</t>
  </si>
  <si>
    <t>Ton-miles converted to Metric ton-miles</t>
  </si>
  <si>
    <t>Include your equipment list for this category</t>
  </si>
  <si>
    <t>Refrigerants</t>
  </si>
  <si>
    <t>Name of Offset Program</t>
  </si>
  <si>
    <t>Mulch</t>
  </si>
  <si>
    <t>AVA region</t>
  </si>
  <si>
    <t>Oregon Columbia Valley</t>
  </si>
  <si>
    <t>Oregon Willamette Valley</t>
  </si>
  <si>
    <t>Oregon Snake River Valley</t>
  </si>
  <si>
    <t>Oregon Umpqua Valley</t>
  </si>
  <si>
    <t>Oregon Rogue Valley</t>
  </si>
  <si>
    <t>Washington Ancient Lakes</t>
  </si>
  <si>
    <t>Washington Puget Sound</t>
  </si>
  <si>
    <t>Washington Columbia Gorge West</t>
  </si>
  <si>
    <t>Washington Columbia Gorge East</t>
  </si>
  <si>
    <t>Washington Yakima Valley</t>
  </si>
  <si>
    <t>Washington North Columbia Valley</t>
  </si>
  <si>
    <t>Average product</t>
  </si>
  <si>
    <t>Average fungicide</t>
  </si>
  <si>
    <t>Average insecticide</t>
  </si>
  <si>
    <t>Emissions factor kg CO2e/MT</t>
  </si>
  <si>
    <t>Emissions factor MT CO2e/lb</t>
  </si>
  <si>
    <t>Quantity</t>
  </si>
  <si>
    <t>Vineyard Applications</t>
  </si>
  <si>
    <t xml:space="preserve">Convert short tons to lbs.: </t>
  </si>
  <si>
    <t>acres</t>
  </si>
  <si>
    <t>Vineyard Land Management</t>
  </si>
  <si>
    <t>Biochar</t>
  </si>
  <si>
    <t>Emissions factor</t>
  </si>
  <si>
    <t>SOURCE 1: EPA Emissions Factors for Greenhouse Gas Inventories. TABLES 1 &amp; 2. March 9 2018.</t>
  </si>
  <si>
    <t>source 1</t>
  </si>
  <si>
    <t>For drop-down</t>
  </si>
  <si>
    <t>Select from drop-down</t>
  </si>
  <si>
    <t>n/a</t>
  </si>
  <si>
    <t>Leave for drop down</t>
  </si>
  <si>
    <t>calculation</t>
  </si>
  <si>
    <t>Motor Diesel/Distillate Fuel Oil #2</t>
  </si>
  <si>
    <t xml:space="preserve">   Other fossil fuels (use drop-down)</t>
  </si>
  <si>
    <t xml:space="preserve">   Common fossil fuels</t>
  </si>
  <si>
    <t>Leave for drop-down</t>
  </si>
  <si>
    <t>Refrigerant type</t>
  </si>
  <si>
    <t>Offsets Purchased for inventory year:</t>
  </si>
  <si>
    <t>Credits and Offsets</t>
  </si>
  <si>
    <r>
      <t>MT CO</t>
    </r>
    <r>
      <rPr>
        <vertAlign val="subscript"/>
        <sz val="14"/>
        <color theme="1"/>
        <rFont val="Verdana"/>
        <family val="2"/>
      </rPr>
      <t>2</t>
    </r>
    <r>
      <rPr>
        <sz val="14"/>
        <color theme="1"/>
        <rFont val="Verdana"/>
        <family val="2"/>
      </rPr>
      <t>e</t>
    </r>
  </si>
  <si>
    <t>Dry</t>
  </si>
  <si>
    <t>Moist</t>
  </si>
  <si>
    <t>Urea</t>
  </si>
  <si>
    <t>Ammonium Nitrate</t>
  </si>
  <si>
    <t>Calcium Ammonium Nitrate</t>
  </si>
  <si>
    <t>Ammonium Sulphate</t>
  </si>
  <si>
    <r>
      <t>kg CO</t>
    </r>
    <r>
      <rPr>
        <i/>
        <vertAlign val="subscript"/>
        <sz val="10"/>
        <color theme="1"/>
        <rFont val="Verdana"/>
        <family val="2"/>
      </rPr>
      <t>2</t>
    </r>
    <r>
      <rPr>
        <i/>
        <sz val="10"/>
        <color theme="1"/>
        <rFont val="Verdana"/>
        <family val="2"/>
      </rPr>
      <t>/
MMBtu**</t>
    </r>
  </si>
  <si>
    <r>
      <t>kg CH</t>
    </r>
    <r>
      <rPr>
        <i/>
        <vertAlign val="subscript"/>
        <sz val="10"/>
        <color theme="1"/>
        <rFont val="Verdana"/>
        <family val="2"/>
      </rPr>
      <t>4</t>
    </r>
    <r>
      <rPr>
        <i/>
        <sz val="10"/>
        <color theme="1"/>
        <rFont val="Verdana"/>
        <family val="2"/>
      </rPr>
      <t>/
MMBtu**</t>
    </r>
  </si>
  <si>
    <r>
      <t>kg N</t>
    </r>
    <r>
      <rPr>
        <i/>
        <vertAlign val="subscript"/>
        <sz val="10"/>
        <color theme="1"/>
        <rFont val="Verdana"/>
        <family val="2"/>
      </rPr>
      <t>2</t>
    </r>
    <r>
      <rPr>
        <i/>
        <sz val="10"/>
        <color theme="1"/>
        <rFont val="Verdana"/>
        <family val="2"/>
      </rPr>
      <t>O/
MMBtu**</t>
    </r>
  </si>
  <si>
    <r>
      <t>kg CO</t>
    </r>
    <r>
      <rPr>
        <i/>
        <vertAlign val="subscript"/>
        <sz val="10"/>
        <color theme="1"/>
        <rFont val="Verdana"/>
        <family val="2"/>
      </rPr>
      <t>2</t>
    </r>
    <r>
      <rPr>
        <i/>
        <sz val="10"/>
        <color theme="1"/>
        <rFont val="Verdana"/>
        <family val="2"/>
      </rPr>
      <t>/unit**</t>
    </r>
  </si>
  <si>
    <r>
      <t>kg CH</t>
    </r>
    <r>
      <rPr>
        <i/>
        <vertAlign val="subscript"/>
        <sz val="10"/>
        <color theme="1"/>
        <rFont val="Verdana"/>
        <family val="2"/>
      </rPr>
      <t>4</t>
    </r>
    <r>
      <rPr>
        <i/>
        <sz val="10"/>
        <color theme="1"/>
        <rFont val="Verdana"/>
        <family val="2"/>
      </rPr>
      <t>/unit**</t>
    </r>
  </si>
  <si>
    <r>
      <t>kg N</t>
    </r>
    <r>
      <rPr>
        <i/>
        <vertAlign val="subscript"/>
        <sz val="10"/>
        <color theme="1"/>
        <rFont val="Verdana"/>
        <family val="2"/>
      </rPr>
      <t>2</t>
    </r>
    <r>
      <rPr>
        <i/>
        <sz val="10"/>
        <color theme="1"/>
        <rFont val="Verdana"/>
        <family val="2"/>
      </rPr>
      <t>O/unit**</t>
    </r>
  </si>
  <si>
    <r>
      <t>CO</t>
    </r>
    <r>
      <rPr>
        <vertAlign val="subscript"/>
        <sz val="10"/>
        <color theme="1"/>
        <rFont val="Verdana"/>
        <family val="2"/>
      </rPr>
      <t>2</t>
    </r>
  </si>
  <si>
    <r>
      <t>CH</t>
    </r>
    <r>
      <rPr>
        <vertAlign val="subscript"/>
        <sz val="10"/>
        <color theme="1"/>
        <rFont val="Verdana"/>
        <family val="2"/>
      </rPr>
      <t>4</t>
    </r>
  </si>
  <si>
    <r>
      <t>N</t>
    </r>
    <r>
      <rPr>
        <vertAlign val="subscript"/>
        <sz val="10"/>
        <color theme="1"/>
        <rFont val="Verdana"/>
        <family val="2"/>
      </rPr>
      <t>2</t>
    </r>
    <r>
      <rPr>
        <sz val="10"/>
        <color theme="1"/>
        <rFont val="Verdana"/>
        <family val="2"/>
      </rPr>
      <t>O</t>
    </r>
  </si>
  <si>
    <r>
      <t>CO</t>
    </r>
    <r>
      <rPr>
        <i/>
        <vertAlign val="subscript"/>
        <sz val="10"/>
        <color theme="1"/>
        <rFont val="Verdana"/>
        <family val="2"/>
      </rPr>
      <t>2</t>
    </r>
    <r>
      <rPr>
        <i/>
        <sz val="10"/>
        <color theme="1"/>
        <rFont val="Verdana"/>
        <family val="2"/>
      </rPr>
      <t xml:space="preserve"> Factor 
(kg / unit)</t>
    </r>
  </si>
  <si>
    <r>
      <t>CH</t>
    </r>
    <r>
      <rPr>
        <i/>
        <vertAlign val="subscript"/>
        <sz val="10"/>
        <color theme="1"/>
        <rFont val="Verdana"/>
        <family val="2"/>
      </rPr>
      <t>4</t>
    </r>
    <r>
      <rPr>
        <i/>
        <sz val="10"/>
        <color theme="1"/>
        <rFont val="Verdana"/>
        <family val="2"/>
      </rPr>
      <t xml:space="preserve"> Factor
(g / unit)</t>
    </r>
  </si>
  <si>
    <r>
      <t>N</t>
    </r>
    <r>
      <rPr>
        <i/>
        <vertAlign val="subscript"/>
        <sz val="10"/>
        <color theme="1"/>
        <rFont val="Verdana"/>
        <family val="2"/>
      </rPr>
      <t>2</t>
    </r>
    <r>
      <rPr>
        <i/>
        <sz val="10"/>
        <color theme="1"/>
        <rFont val="Verdana"/>
        <family val="2"/>
      </rPr>
      <t>O Factor
(g / unit)</t>
    </r>
  </si>
  <si>
    <r>
      <t>Passenger car</t>
    </r>
    <r>
      <rPr>
        <vertAlign val="superscript"/>
        <sz val="10"/>
        <color theme="1"/>
        <rFont val="Verdana"/>
        <family val="2"/>
      </rPr>
      <t>A</t>
    </r>
  </si>
  <si>
    <r>
      <t>Light-duty truck</t>
    </r>
    <r>
      <rPr>
        <vertAlign val="superscript"/>
        <sz val="10"/>
        <color theme="1"/>
        <rFont val="Verdana"/>
        <family val="2"/>
      </rPr>
      <t>B</t>
    </r>
  </si>
  <si>
    <r>
      <t>Intercity rail</t>
    </r>
    <r>
      <rPr>
        <vertAlign val="superscript"/>
        <sz val="10"/>
        <color theme="1"/>
        <rFont val="Verdana"/>
        <family val="2"/>
      </rPr>
      <t>C</t>
    </r>
  </si>
  <si>
    <r>
      <t>Commuter rail</t>
    </r>
    <r>
      <rPr>
        <vertAlign val="superscript"/>
        <sz val="10"/>
        <color theme="1"/>
        <rFont val="Verdana"/>
        <family val="2"/>
      </rPr>
      <t>D</t>
    </r>
  </si>
  <si>
    <r>
      <t>Transit rail</t>
    </r>
    <r>
      <rPr>
        <vertAlign val="superscript"/>
        <sz val="10"/>
        <color theme="1"/>
        <rFont val="Verdana"/>
        <family val="2"/>
      </rPr>
      <t>E</t>
    </r>
  </si>
  <si>
    <r>
      <t>Air travel - short haul</t>
    </r>
    <r>
      <rPr>
        <vertAlign val="superscript"/>
        <sz val="10"/>
        <color theme="1"/>
        <rFont val="Verdana"/>
        <family val="2"/>
      </rPr>
      <t>F</t>
    </r>
  </si>
  <si>
    <r>
      <t>Air travel - medium haul</t>
    </r>
    <r>
      <rPr>
        <vertAlign val="superscript"/>
        <sz val="10"/>
        <color theme="1"/>
        <rFont val="Verdana"/>
        <family val="2"/>
      </rPr>
      <t>G</t>
    </r>
  </si>
  <si>
    <r>
      <t>Air travel - long haul</t>
    </r>
    <r>
      <rPr>
        <vertAlign val="superscript"/>
        <sz val="10"/>
        <color theme="1"/>
        <rFont val="Verdana"/>
        <family val="2"/>
      </rPr>
      <t>H</t>
    </r>
  </si>
  <si>
    <r>
      <t>CO</t>
    </r>
    <r>
      <rPr>
        <i/>
        <vertAlign val="subscript"/>
        <sz val="10"/>
        <color theme="1"/>
        <rFont val="Verdana"/>
        <family val="2"/>
      </rPr>
      <t>2</t>
    </r>
    <r>
      <rPr>
        <i/>
        <sz val="10"/>
        <color theme="1"/>
        <rFont val="Verdana"/>
        <family val="2"/>
      </rPr>
      <t xml:space="preserve"> Factor 
(</t>
    </r>
    <r>
      <rPr>
        <i/>
        <sz val="10"/>
        <color rgb="FFFF0000"/>
        <rFont val="Verdana"/>
        <family val="2"/>
      </rPr>
      <t>kg</t>
    </r>
    <r>
      <rPr>
        <i/>
        <sz val="10"/>
        <color theme="1"/>
        <rFont val="Verdana"/>
        <family val="2"/>
      </rPr>
      <t xml:space="preserve"> / unit)</t>
    </r>
  </si>
  <si>
    <r>
      <t>CH</t>
    </r>
    <r>
      <rPr>
        <i/>
        <vertAlign val="subscript"/>
        <sz val="10"/>
        <color theme="1"/>
        <rFont val="Verdana"/>
        <family val="2"/>
      </rPr>
      <t>4</t>
    </r>
    <r>
      <rPr>
        <i/>
        <sz val="10"/>
        <color theme="1"/>
        <rFont val="Verdana"/>
        <family val="2"/>
      </rPr>
      <t xml:space="preserve"> Factor
(</t>
    </r>
    <r>
      <rPr>
        <i/>
        <sz val="10"/>
        <color rgb="FFFF0000"/>
        <rFont val="Verdana"/>
        <family val="2"/>
      </rPr>
      <t>g</t>
    </r>
    <r>
      <rPr>
        <i/>
        <sz val="10"/>
        <color theme="1"/>
        <rFont val="Verdana"/>
        <family val="2"/>
      </rPr>
      <t xml:space="preserve"> / unit)</t>
    </r>
  </si>
  <si>
    <r>
      <t>N</t>
    </r>
    <r>
      <rPr>
        <i/>
        <vertAlign val="subscript"/>
        <sz val="10"/>
        <color theme="1"/>
        <rFont val="Verdana"/>
        <family val="2"/>
      </rPr>
      <t>2</t>
    </r>
    <r>
      <rPr>
        <i/>
        <sz val="10"/>
        <color theme="1"/>
        <rFont val="Verdana"/>
        <family val="2"/>
      </rPr>
      <t>O Factor
(</t>
    </r>
    <r>
      <rPr>
        <i/>
        <sz val="10"/>
        <color rgb="FFFF0000"/>
        <rFont val="Verdana"/>
        <family val="2"/>
      </rPr>
      <t>g</t>
    </r>
    <r>
      <rPr>
        <i/>
        <sz val="10"/>
        <color theme="1"/>
        <rFont val="Verdana"/>
        <family val="2"/>
      </rPr>
      <t xml:space="preserve"> / unit)</t>
    </r>
  </si>
  <si>
    <r>
      <t>MT CO</t>
    </r>
    <r>
      <rPr>
        <i/>
        <vertAlign val="subscript"/>
        <sz val="10"/>
        <color theme="1"/>
        <rFont val="Verdana"/>
        <family val="2"/>
      </rPr>
      <t>2</t>
    </r>
    <r>
      <rPr>
        <i/>
        <sz val="10"/>
        <color theme="1"/>
        <rFont val="Verdana"/>
        <family val="2"/>
      </rPr>
      <t>e/
short ton</t>
    </r>
  </si>
  <si>
    <r>
      <t>CO₂e of CH</t>
    </r>
    <r>
      <rPr>
        <i/>
        <vertAlign val="subscript"/>
        <sz val="10"/>
        <color theme="1"/>
        <rFont val="Verdana"/>
        <family val="2"/>
      </rPr>
      <t>4</t>
    </r>
    <r>
      <rPr>
        <i/>
        <sz val="10"/>
        <color theme="1"/>
        <rFont val="Verdana"/>
        <family val="2"/>
      </rPr>
      <t xml:space="preserve"> (</t>
    </r>
    <r>
      <rPr>
        <b/>
        <i/>
        <sz val="10"/>
        <color rgb="FFFF0000"/>
        <rFont val="Verdana"/>
        <family val="2"/>
      </rPr>
      <t>kg</t>
    </r>
    <r>
      <rPr>
        <i/>
        <sz val="10"/>
        <color theme="1"/>
        <rFont val="Verdana"/>
        <family val="2"/>
      </rPr>
      <t>/MT-mile)</t>
    </r>
  </si>
  <si>
    <r>
      <t>CO₂e of N₂O (</t>
    </r>
    <r>
      <rPr>
        <b/>
        <i/>
        <sz val="10"/>
        <color rgb="FFFF0000"/>
        <rFont val="Verdana"/>
        <family val="2"/>
      </rPr>
      <t>kg</t>
    </r>
    <r>
      <rPr>
        <i/>
        <sz val="10"/>
        <color theme="1"/>
        <rFont val="Verdana"/>
        <family val="2"/>
      </rPr>
      <t>/MT-mile)</t>
    </r>
  </si>
  <si>
    <r>
      <t>Processes</t>
    </r>
    <r>
      <rPr>
        <sz val="12"/>
        <color theme="1"/>
        <rFont val="Verdana"/>
        <family val="2"/>
      </rPr>
      <t xml:space="preserve"> (winery, crushing facility, vineyard, etc.)</t>
    </r>
  </si>
  <si>
    <r>
      <t>kg CO</t>
    </r>
    <r>
      <rPr>
        <i/>
        <vertAlign val="subscript"/>
        <sz val="10"/>
        <color theme="1"/>
        <rFont val="Verdana"/>
        <family val="2"/>
      </rPr>
      <t>2</t>
    </r>
    <r>
      <rPr>
        <i/>
        <sz val="10"/>
        <color theme="1"/>
        <rFont val="Verdana"/>
        <family val="2"/>
      </rPr>
      <t>/unit</t>
    </r>
  </si>
  <si>
    <r>
      <t>kg CH</t>
    </r>
    <r>
      <rPr>
        <i/>
        <vertAlign val="subscript"/>
        <sz val="10"/>
        <color theme="1"/>
        <rFont val="Verdana"/>
        <family val="2"/>
      </rPr>
      <t>4</t>
    </r>
    <r>
      <rPr>
        <i/>
        <sz val="10"/>
        <color theme="1"/>
        <rFont val="Verdana"/>
        <family val="2"/>
      </rPr>
      <t>/unit</t>
    </r>
  </si>
  <si>
    <r>
      <t>CH</t>
    </r>
    <r>
      <rPr>
        <i/>
        <vertAlign val="subscript"/>
        <sz val="10"/>
        <color theme="1"/>
        <rFont val="Verdana"/>
        <family val="2"/>
      </rPr>
      <t>4</t>
    </r>
    <r>
      <rPr>
        <i/>
        <sz val="10"/>
        <color theme="1"/>
        <rFont val="Verdana"/>
        <family val="2"/>
      </rPr>
      <t xml:space="preserve"> GWP</t>
    </r>
  </si>
  <si>
    <r>
      <t>kg N</t>
    </r>
    <r>
      <rPr>
        <i/>
        <vertAlign val="subscript"/>
        <sz val="10"/>
        <color theme="1"/>
        <rFont val="Verdana"/>
        <family val="2"/>
      </rPr>
      <t>2</t>
    </r>
    <r>
      <rPr>
        <i/>
        <sz val="10"/>
        <color theme="1"/>
        <rFont val="Verdana"/>
        <family val="2"/>
      </rPr>
      <t>O/unit</t>
    </r>
  </si>
  <si>
    <r>
      <t>N</t>
    </r>
    <r>
      <rPr>
        <i/>
        <vertAlign val="subscript"/>
        <sz val="10"/>
        <color theme="1"/>
        <rFont val="Verdana"/>
        <family val="2"/>
      </rPr>
      <t>2</t>
    </r>
    <r>
      <rPr>
        <i/>
        <sz val="10"/>
        <color theme="1"/>
        <rFont val="Verdana"/>
        <family val="2"/>
      </rPr>
      <t>O GWP</t>
    </r>
  </si>
  <si>
    <r>
      <t>MTCO</t>
    </r>
    <r>
      <rPr>
        <i/>
        <vertAlign val="subscript"/>
        <sz val="10"/>
        <color theme="1"/>
        <rFont val="Verdana"/>
        <family val="2"/>
      </rPr>
      <t>2</t>
    </r>
  </si>
  <si>
    <r>
      <t>CH4 MTCO</t>
    </r>
    <r>
      <rPr>
        <vertAlign val="subscript"/>
        <sz val="10"/>
        <color theme="1"/>
        <rFont val="Verdana"/>
        <family val="2"/>
      </rPr>
      <t>2</t>
    </r>
    <r>
      <rPr>
        <i/>
        <sz val="10"/>
        <color theme="1"/>
        <rFont val="Verdana"/>
        <family val="2"/>
      </rPr>
      <t>e</t>
    </r>
  </si>
  <si>
    <r>
      <t>N</t>
    </r>
    <r>
      <rPr>
        <i/>
        <vertAlign val="subscript"/>
        <sz val="10"/>
        <color theme="1"/>
        <rFont val="Verdana"/>
        <family val="2"/>
      </rPr>
      <t>2</t>
    </r>
    <r>
      <rPr>
        <i/>
        <sz val="10"/>
        <color theme="1"/>
        <rFont val="Verdana"/>
        <family val="2"/>
      </rPr>
      <t>O MTCO</t>
    </r>
    <r>
      <rPr>
        <i/>
        <vertAlign val="subscript"/>
        <sz val="10"/>
        <color theme="1"/>
        <rFont val="Verdana"/>
        <family val="2"/>
      </rPr>
      <t>2</t>
    </r>
    <r>
      <rPr>
        <i/>
        <sz val="10"/>
        <color theme="1"/>
        <rFont val="Verdana"/>
        <family val="2"/>
      </rPr>
      <t>e</t>
    </r>
  </si>
  <si>
    <r>
      <t>Offsets 
MT CO</t>
    </r>
    <r>
      <rPr>
        <i/>
        <vertAlign val="subscript"/>
        <sz val="10"/>
        <rFont val="Verdana"/>
        <family val="2"/>
      </rPr>
      <t>2</t>
    </r>
    <r>
      <rPr>
        <i/>
        <sz val="10"/>
        <color theme="1"/>
        <rFont val="Verdana"/>
        <family val="2"/>
      </rPr>
      <t>e</t>
    </r>
  </si>
  <si>
    <r>
      <t>MTCH</t>
    </r>
    <r>
      <rPr>
        <i/>
        <vertAlign val="subscript"/>
        <sz val="10"/>
        <color theme="1"/>
        <rFont val="Verdana"/>
        <family val="2"/>
      </rPr>
      <t>4</t>
    </r>
  </si>
  <si>
    <r>
      <t>MTN</t>
    </r>
    <r>
      <rPr>
        <i/>
        <vertAlign val="subscript"/>
        <sz val="10"/>
        <color theme="1"/>
        <rFont val="Verdana"/>
        <family val="2"/>
      </rPr>
      <t>2</t>
    </r>
    <r>
      <rPr>
        <i/>
        <sz val="10"/>
        <color theme="1"/>
        <rFont val="Verdana"/>
        <family val="2"/>
      </rPr>
      <t>O</t>
    </r>
  </si>
  <si>
    <r>
      <t>MTCO</t>
    </r>
    <r>
      <rPr>
        <i/>
        <vertAlign val="subscript"/>
        <sz val="10"/>
        <color theme="1"/>
        <rFont val="Verdana"/>
        <family val="2"/>
      </rPr>
      <t>2</t>
    </r>
    <r>
      <rPr>
        <i/>
        <sz val="10"/>
        <color theme="1"/>
        <rFont val="Verdana"/>
        <family val="2"/>
      </rPr>
      <t>e</t>
    </r>
  </si>
  <si>
    <r>
      <t>Emissions 
MT CO</t>
    </r>
    <r>
      <rPr>
        <i/>
        <vertAlign val="subscript"/>
        <sz val="10"/>
        <color theme="1"/>
        <rFont val="Verdana"/>
        <family val="2"/>
      </rPr>
      <t>2</t>
    </r>
    <r>
      <rPr>
        <i/>
        <sz val="10"/>
        <color theme="1"/>
        <rFont val="Verdana"/>
        <family val="2"/>
      </rPr>
      <t>e</t>
    </r>
  </si>
  <si>
    <r>
      <t>fossil MTCO</t>
    </r>
    <r>
      <rPr>
        <i/>
        <vertAlign val="subscript"/>
        <sz val="10"/>
        <color theme="1"/>
        <rFont val="Verdana"/>
        <family val="2"/>
      </rPr>
      <t>2</t>
    </r>
  </si>
  <si>
    <r>
      <t>biogenic 
Kg CO</t>
    </r>
    <r>
      <rPr>
        <i/>
        <vertAlign val="subscript"/>
        <sz val="10"/>
        <color theme="1"/>
        <rFont val="Verdana"/>
        <family val="2"/>
      </rPr>
      <t>2</t>
    </r>
    <r>
      <rPr>
        <i/>
        <sz val="10"/>
        <color theme="1"/>
        <rFont val="Verdana"/>
        <family val="2"/>
      </rPr>
      <t xml:space="preserve"> EF</t>
    </r>
  </si>
  <si>
    <r>
      <t>biogenic MTCO</t>
    </r>
    <r>
      <rPr>
        <i/>
        <vertAlign val="subscript"/>
        <sz val="10"/>
        <color theme="1"/>
        <rFont val="Verdana"/>
        <family val="2"/>
      </rPr>
      <t>2</t>
    </r>
  </si>
  <si>
    <r>
      <t>Biogenic MT CO</t>
    </r>
    <r>
      <rPr>
        <i/>
        <vertAlign val="subscript"/>
        <sz val="10"/>
        <color theme="1"/>
        <rFont val="Verdana"/>
        <family val="2"/>
      </rPr>
      <t>2</t>
    </r>
    <r>
      <rPr>
        <i/>
        <sz val="10"/>
        <color theme="1"/>
        <rFont val="Verdana"/>
        <family val="2"/>
      </rPr>
      <t>e</t>
    </r>
  </si>
  <si>
    <r>
      <t>MT CO</t>
    </r>
    <r>
      <rPr>
        <i/>
        <vertAlign val="subscript"/>
        <sz val="10"/>
        <color theme="1"/>
        <rFont val="Verdana"/>
        <family val="2"/>
      </rPr>
      <t>2</t>
    </r>
    <r>
      <rPr>
        <i/>
        <sz val="10"/>
        <color theme="1"/>
        <rFont val="Verdana"/>
        <family val="2"/>
      </rPr>
      <t>e</t>
    </r>
  </si>
  <si>
    <r>
      <t>kg CO</t>
    </r>
    <r>
      <rPr>
        <i/>
        <vertAlign val="subscript"/>
        <sz val="10"/>
        <color theme="1"/>
        <rFont val="Verdana"/>
        <family val="2"/>
      </rPr>
      <t>2</t>
    </r>
    <r>
      <rPr>
        <i/>
        <sz val="10"/>
        <color theme="1"/>
        <rFont val="Verdana"/>
        <family val="2"/>
      </rPr>
      <t>/gal</t>
    </r>
  </si>
  <si>
    <r>
      <t>biogenic
kg CO</t>
    </r>
    <r>
      <rPr>
        <i/>
        <vertAlign val="subscript"/>
        <sz val="10"/>
        <color theme="1"/>
        <rFont val="Verdana"/>
        <family val="2"/>
      </rPr>
      <t>2</t>
    </r>
    <r>
      <rPr>
        <i/>
        <sz val="10"/>
        <color theme="1"/>
        <rFont val="Verdana"/>
        <family val="2"/>
      </rPr>
      <t>/gal</t>
    </r>
  </si>
  <si>
    <r>
      <t>MT CO</t>
    </r>
    <r>
      <rPr>
        <i/>
        <vertAlign val="subscript"/>
        <sz val="10"/>
        <color theme="1"/>
        <rFont val="Verdana"/>
        <family val="2"/>
      </rPr>
      <t>2</t>
    </r>
  </si>
  <si>
    <r>
      <t>Biogenic MT CO</t>
    </r>
    <r>
      <rPr>
        <i/>
        <vertAlign val="subscript"/>
        <sz val="10"/>
        <color theme="1"/>
        <rFont val="Verdana"/>
        <family val="2"/>
      </rPr>
      <t>2</t>
    </r>
  </si>
  <si>
    <r>
      <t>Subtotal MT CO</t>
    </r>
    <r>
      <rPr>
        <i/>
        <vertAlign val="subscript"/>
        <sz val="10"/>
        <color theme="1"/>
        <rFont val="Verdana"/>
        <family val="2"/>
      </rPr>
      <t>2</t>
    </r>
    <r>
      <rPr>
        <i/>
        <sz val="10"/>
        <color theme="1"/>
        <rFont val="Verdana"/>
        <family val="2"/>
      </rPr>
      <t>e</t>
    </r>
  </si>
  <si>
    <r>
      <t>Total MT CO</t>
    </r>
    <r>
      <rPr>
        <i/>
        <vertAlign val="subscript"/>
        <sz val="10"/>
        <color theme="1"/>
        <rFont val="Verdana"/>
        <family val="2"/>
      </rPr>
      <t>2</t>
    </r>
    <r>
      <rPr>
        <i/>
        <sz val="10"/>
        <color theme="1"/>
        <rFont val="Verdana"/>
        <family val="2"/>
      </rPr>
      <t>e</t>
    </r>
  </si>
  <si>
    <r>
      <t xml:space="preserve">Record fire extinguishers if they were </t>
    </r>
    <r>
      <rPr>
        <b/>
        <i/>
        <sz val="10"/>
        <rFont val="Verdana"/>
        <family val="2"/>
      </rPr>
      <t>USED</t>
    </r>
    <r>
      <rPr>
        <i/>
        <sz val="10"/>
        <rFont val="Verdana"/>
        <family val="2"/>
      </rPr>
      <t xml:space="preserve"> under HFC-125.</t>
    </r>
  </si>
  <si>
    <r>
      <rPr>
        <b/>
        <sz val="12"/>
        <color theme="1"/>
        <rFont val="Verdana"/>
        <family val="2"/>
      </rPr>
      <t>Purchased electricity is a required category for your GHG inventory</t>
    </r>
    <r>
      <rPr>
        <sz val="12"/>
        <color theme="1"/>
        <rFont val="Verdana"/>
        <family val="2"/>
      </rPr>
      <t>.</t>
    </r>
    <r>
      <rPr>
        <sz val="10.5"/>
        <color theme="1"/>
        <rFont val="Verdana"/>
        <family val="2"/>
      </rPr>
      <t xml:space="preserve">
</t>
    </r>
    <r>
      <rPr>
        <i/>
        <sz val="10.5"/>
        <color theme="1"/>
        <rFont val="Verdana"/>
        <family val="2"/>
      </rPr>
      <t xml:space="preserve">
To calculate emissions from purchased electricity, please enter data from your electricity bills in the </t>
    </r>
    <r>
      <rPr>
        <b/>
        <i/>
        <sz val="10.5"/>
        <color theme="1"/>
        <rFont val="Verdana"/>
        <family val="2"/>
      </rPr>
      <t>Purchased Electricity Emissions Calculation</t>
    </r>
    <r>
      <rPr>
        <i/>
        <sz val="10.5"/>
        <color theme="1"/>
        <rFont val="Verdana"/>
        <family val="2"/>
      </rPr>
      <t xml:space="preserve"> table below. </t>
    </r>
    <r>
      <rPr>
        <b/>
        <i/>
        <sz val="10.5"/>
        <color theme="1"/>
        <rFont val="Verdana"/>
        <family val="2"/>
      </rPr>
      <t>If you purchase Renewable Energy Credits or have a renewable energy source on site and sell energy back to the grid</t>
    </r>
    <r>
      <rPr>
        <i/>
        <sz val="10.5"/>
        <color theme="1"/>
        <rFont val="Verdana"/>
        <family val="2"/>
      </rPr>
      <t xml:space="preserve">, please include data in the </t>
    </r>
    <r>
      <rPr>
        <b/>
        <i/>
        <sz val="10.5"/>
        <color theme="1"/>
        <rFont val="Verdana"/>
        <family val="2"/>
      </rPr>
      <t>Renewable Energy</t>
    </r>
    <r>
      <rPr>
        <i/>
        <sz val="10.5"/>
        <color theme="1"/>
        <rFont val="Verdana"/>
        <family val="2"/>
      </rPr>
      <t xml:space="preserve"> table below the purchased electricity portion, as this will impact your overall footprint. Do NOT fill this portion out if you generate renewable energy onsite but use all of this energy for your own operations; the positive impact from this will be demonstrated in the reduction of overall electricity purchased from the grid.</t>
    </r>
  </si>
  <si>
    <r>
      <t>lbs CO</t>
    </r>
    <r>
      <rPr>
        <i/>
        <vertAlign val="subscript"/>
        <sz val="10"/>
        <color theme="1"/>
        <rFont val="Verdana"/>
        <family val="2"/>
      </rPr>
      <t>2</t>
    </r>
    <r>
      <rPr>
        <i/>
        <sz val="10"/>
        <color theme="1"/>
        <rFont val="Verdana"/>
        <family val="2"/>
      </rPr>
      <t>/
MWh</t>
    </r>
  </si>
  <si>
    <r>
      <t>lbs CH</t>
    </r>
    <r>
      <rPr>
        <i/>
        <vertAlign val="subscript"/>
        <sz val="10"/>
        <color theme="1"/>
        <rFont val="Verdana"/>
        <family val="2"/>
      </rPr>
      <t>4</t>
    </r>
    <r>
      <rPr>
        <i/>
        <sz val="10"/>
        <color theme="1"/>
        <rFont val="Verdana"/>
        <family val="2"/>
      </rPr>
      <t>/
MWh</t>
    </r>
  </si>
  <si>
    <r>
      <t>lbs N</t>
    </r>
    <r>
      <rPr>
        <i/>
        <vertAlign val="subscript"/>
        <sz val="10"/>
        <color theme="1"/>
        <rFont val="Verdana"/>
        <family val="2"/>
      </rPr>
      <t>2</t>
    </r>
    <r>
      <rPr>
        <i/>
        <sz val="10"/>
        <color theme="1"/>
        <rFont val="Verdana"/>
        <family val="2"/>
      </rPr>
      <t>O/
MWh</t>
    </r>
  </si>
  <si>
    <r>
      <t>GWP - CH</t>
    </r>
    <r>
      <rPr>
        <i/>
        <vertAlign val="subscript"/>
        <sz val="10"/>
        <color theme="1"/>
        <rFont val="Verdana"/>
        <family val="2"/>
      </rPr>
      <t>4</t>
    </r>
  </si>
  <si>
    <r>
      <t>GWP - N</t>
    </r>
    <r>
      <rPr>
        <i/>
        <vertAlign val="subscript"/>
        <sz val="10"/>
        <color theme="1"/>
        <rFont val="Verdana"/>
        <family val="2"/>
      </rPr>
      <t>2</t>
    </r>
    <r>
      <rPr>
        <i/>
        <sz val="10"/>
        <color theme="1"/>
        <rFont val="Verdana"/>
        <family val="2"/>
      </rPr>
      <t>O</t>
    </r>
  </si>
  <si>
    <r>
      <t>CH₄ MTCO</t>
    </r>
    <r>
      <rPr>
        <vertAlign val="subscript"/>
        <sz val="10"/>
        <color theme="1"/>
        <rFont val="Verdana"/>
        <family val="2"/>
      </rPr>
      <t>2</t>
    </r>
    <r>
      <rPr>
        <i/>
        <sz val="10"/>
        <color theme="1"/>
        <rFont val="Verdana"/>
        <family val="2"/>
      </rPr>
      <t>e</t>
    </r>
  </si>
  <si>
    <r>
      <t>Total electricity RECs MTCO</t>
    </r>
    <r>
      <rPr>
        <i/>
        <vertAlign val="subscript"/>
        <sz val="10"/>
        <rFont val="Verdana"/>
        <family val="2"/>
      </rPr>
      <t>2</t>
    </r>
    <r>
      <rPr>
        <i/>
        <sz val="10"/>
        <color theme="1"/>
        <rFont val="Verdana"/>
        <family val="2"/>
      </rPr>
      <t>e</t>
    </r>
  </si>
  <si>
    <r>
      <t>Meter Total MTCO</t>
    </r>
    <r>
      <rPr>
        <i/>
        <vertAlign val="subscript"/>
        <sz val="10"/>
        <rFont val="Verdana"/>
        <family val="2"/>
      </rPr>
      <t>2</t>
    </r>
    <r>
      <rPr>
        <i/>
        <sz val="10"/>
        <color theme="1"/>
        <rFont val="Verdana"/>
        <family val="2"/>
      </rPr>
      <t>e</t>
    </r>
  </si>
  <si>
    <r>
      <t>Meter Total MT CO</t>
    </r>
    <r>
      <rPr>
        <i/>
        <vertAlign val="subscript"/>
        <sz val="10"/>
        <rFont val="Verdana"/>
        <family val="2"/>
      </rPr>
      <t>2</t>
    </r>
    <r>
      <rPr>
        <i/>
        <sz val="10"/>
        <color theme="1"/>
        <rFont val="Verdana"/>
        <family val="2"/>
      </rPr>
      <t>e</t>
    </r>
  </si>
  <si>
    <r>
      <t>MTNO</t>
    </r>
    <r>
      <rPr>
        <i/>
        <vertAlign val="subscript"/>
        <sz val="10"/>
        <color theme="1"/>
        <rFont val="Verdana"/>
        <family val="2"/>
      </rPr>
      <t>2</t>
    </r>
  </si>
  <si>
    <r>
      <rPr>
        <b/>
        <sz val="10"/>
        <color theme="1"/>
        <rFont val="Verdana"/>
        <family val="2"/>
      </rPr>
      <t>Passenger car</t>
    </r>
    <r>
      <rPr>
        <sz val="10"/>
        <color theme="1"/>
        <rFont val="Verdana"/>
        <family val="2"/>
      </rPr>
      <t xml:space="preserve">: Includes passenger cars, minivans, SUVs, and small pickup trucks (vehicles with wheelbase less than 121 inches). </t>
    </r>
  </si>
  <si>
    <r>
      <rPr>
        <b/>
        <sz val="10"/>
        <color theme="1"/>
        <rFont val="Verdana"/>
        <family val="2"/>
      </rPr>
      <t>Light-duty trucks</t>
    </r>
    <r>
      <rPr>
        <sz val="10"/>
        <color theme="1"/>
        <rFont val="Verdana"/>
        <family val="2"/>
      </rPr>
      <t xml:space="preserve">: Includes full-size pickup trucks, full-size vans, and extended-length SUVs (vehicles with wheelbase greater than 121 inches). </t>
    </r>
  </si>
  <si>
    <r>
      <rPr>
        <b/>
        <sz val="10"/>
        <color theme="1"/>
        <rFont val="Verdana"/>
        <family val="2"/>
      </rPr>
      <t>Intercity rail</t>
    </r>
    <r>
      <rPr>
        <sz val="10"/>
        <color theme="1"/>
        <rFont val="Verdana"/>
        <family val="2"/>
      </rPr>
      <t>: Long-distance rail between major cities, such as Amtrak</t>
    </r>
  </si>
  <si>
    <r>
      <rPr>
        <b/>
        <sz val="10"/>
        <color theme="1"/>
        <rFont val="Verdana"/>
        <family val="2"/>
      </rPr>
      <t>Commuter rail</t>
    </r>
    <r>
      <rPr>
        <sz val="10"/>
        <color theme="1"/>
        <rFont val="Verdana"/>
        <family val="2"/>
      </rPr>
      <t>: Rail service between a central city and adjacent suburbs (also called regional rail or suburban rail)</t>
    </r>
  </si>
  <si>
    <r>
      <rPr>
        <b/>
        <sz val="10"/>
        <color theme="1"/>
        <rFont val="Verdana"/>
        <family val="2"/>
      </rPr>
      <t>Transit rail</t>
    </r>
    <r>
      <rPr>
        <sz val="10"/>
        <color theme="1"/>
        <rFont val="Verdana"/>
        <family val="2"/>
      </rPr>
      <t>: Rail typically within an urban center, such as subways, elevated railways, metropolitan railways (metro), streetcars, etc.</t>
    </r>
  </si>
  <si>
    <r>
      <t>Trip MTCO</t>
    </r>
    <r>
      <rPr>
        <i/>
        <vertAlign val="subscript"/>
        <sz val="10"/>
        <color theme="1"/>
        <rFont val="Verdana"/>
        <family val="2"/>
      </rPr>
      <t>2</t>
    </r>
    <r>
      <rPr>
        <i/>
        <sz val="10"/>
        <color theme="1"/>
        <rFont val="Verdana"/>
        <family val="2"/>
      </rPr>
      <t>e</t>
    </r>
  </si>
  <si>
    <r>
      <t>Trip MT CO</t>
    </r>
    <r>
      <rPr>
        <i/>
        <vertAlign val="subscript"/>
        <sz val="10"/>
        <color theme="1"/>
        <rFont val="Verdana"/>
        <family val="2"/>
      </rPr>
      <t>2</t>
    </r>
    <r>
      <rPr>
        <i/>
        <sz val="10"/>
        <color theme="1"/>
        <rFont val="Verdana"/>
        <family val="2"/>
      </rPr>
      <t>e</t>
    </r>
  </si>
  <si>
    <r>
      <t xml:space="preserve">Enter the weight (in </t>
    </r>
    <r>
      <rPr>
        <b/>
        <sz val="10"/>
        <rFont val="Verdana"/>
        <family val="2"/>
      </rPr>
      <t>pounds</t>
    </r>
    <r>
      <rPr>
        <i/>
        <sz val="10"/>
        <rFont val="Verdana"/>
        <family val="2"/>
      </rPr>
      <t xml:space="preserve">) of each waste type being sent off-site for disposal at the landfill or processing at the recycling or composting facility. Commingled recycled waste is material that is typically recycled (plastics, paper, and metals). If you would like assistance in estimating your operation’s monthly waste output, please use the </t>
    </r>
    <r>
      <rPr>
        <b/>
        <sz val="10"/>
        <rFont val="Verdana"/>
        <family val="2"/>
      </rPr>
      <t>Waste Weight Estimation</t>
    </r>
    <r>
      <rPr>
        <i/>
        <sz val="10"/>
        <rFont val="Verdana"/>
        <family val="2"/>
      </rPr>
      <t xml:space="preserve"> worksheet. </t>
    </r>
  </si>
  <si>
    <r>
      <t>MTCO</t>
    </r>
    <r>
      <rPr>
        <i/>
        <vertAlign val="subscript"/>
        <sz val="10"/>
        <color theme="1"/>
        <rFont val="Verdana"/>
        <family val="2"/>
      </rPr>
      <t>2</t>
    </r>
    <r>
      <rPr>
        <i/>
        <sz val="10"/>
        <color theme="1"/>
        <rFont val="Verdana"/>
        <family val="2"/>
      </rPr>
      <t>e/
short ton</t>
    </r>
  </si>
  <si>
    <r>
      <t>MT CO</t>
    </r>
    <r>
      <rPr>
        <vertAlign val="subscript"/>
        <sz val="12"/>
        <color theme="5"/>
        <rFont val="Verdana"/>
        <family val="2"/>
      </rPr>
      <t>2</t>
    </r>
    <r>
      <rPr>
        <sz val="12"/>
        <color theme="5"/>
        <rFont val="Verdana"/>
        <family val="2"/>
      </rPr>
      <t>e</t>
    </r>
  </si>
  <si>
    <r>
      <t>MT CO</t>
    </r>
    <r>
      <rPr>
        <vertAlign val="subscript"/>
        <sz val="12"/>
        <color theme="9" tint="-0.249977111117893"/>
        <rFont val="Verdana"/>
        <family val="2"/>
      </rPr>
      <t>2</t>
    </r>
    <r>
      <rPr>
        <sz val="12"/>
        <color theme="9" tint="-0.249977111117893"/>
        <rFont val="Verdana"/>
        <family val="2"/>
      </rPr>
      <t>e</t>
    </r>
  </si>
  <si>
    <r>
      <t>MT CO</t>
    </r>
    <r>
      <rPr>
        <vertAlign val="subscript"/>
        <sz val="12"/>
        <color theme="4"/>
        <rFont val="Verdana"/>
        <family val="2"/>
      </rPr>
      <t>2</t>
    </r>
    <r>
      <rPr>
        <sz val="12"/>
        <color theme="4"/>
        <rFont val="Verdana"/>
        <family val="2"/>
      </rPr>
      <t>e</t>
    </r>
  </si>
  <si>
    <r>
      <t>MT CO</t>
    </r>
    <r>
      <rPr>
        <vertAlign val="subscript"/>
        <sz val="12"/>
        <color theme="1"/>
        <rFont val="Verdana"/>
        <family val="2"/>
      </rPr>
      <t>2</t>
    </r>
    <r>
      <rPr>
        <sz val="12"/>
        <color theme="1"/>
        <rFont val="Verdana"/>
        <family val="2"/>
      </rPr>
      <t>e</t>
    </r>
  </si>
  <si>
    <t>Synthetic Fertilizer Products</t>
  </si>
  <si>
    <t>http://www.oiv.int/public/medias/5519/methodological-ghg-balance.pdf</t>
  </si>
  <si>
    <t>Anhydrous Ammonia</t>
  </si>
  <si>
    <t>Residual Fuel Oil #6</t>
  </si>
  <si>
    <t>calculation based on diesel and biodiesel</t>
  </si>
  <si>
    <t>Renewable Diesel (R99)</t>
  </si>
  <si>
    <t>Carbon dioxide emissions factors for biomass fuels assumed to be for biogenic carbon calculations.</t>
  </si>
  <si>
    <t>Dry climate</t>
  </si>
  <si>
    <t>Moist climate</t>
  </si>
  <si>
    <t>Conventional Tillage</t>
  </si>
  <si>
    <t>No Tillage</t>
  </si>
  <si>
    <t>Reduced Tillage</t>
  </si>
  <si>
    <t>Total owned land area</t>
  </si>
  <si>
    <t>Climate class</t>
  </si>
  <si>
    <t>Climate</t>
  </si>
  <si>
    <t>Purchased offsets:</t>
  </si>
  <si>
    <t>Carbon sequestration:</t>
  </si>
  <si>
    <t>Carbon sequestration</t>
  </si>
  <si>
    <t>Displaying the wrong year? Change the year in the "General" tab.</t>
  </si>
  <si>
    <t>Transported</t>
  </si>
  <si>
    <t>Produced on-site</t>
  </si>
  <si>
    <t>qtool-web1.nrel.colostate.edu/COMET-Planner_Report_Final.pdf</t>
  </si>
  <si>
    <t>http://comet-planner.com/</t>
  </si>
  <si>
    <t>Regenerative activities and inputs</t>
  </si>
  <si>
    <t>Glass Emissions Calculation</t>
  </si>
  <si>
    <t>Cardboard Emissions Calculation</t>
  </si>
  <si>
    <t>Pounds of carboard purchased:</t>
  </si>
  <si>
    <t>Packaging Materials</t>
  </si>
  <si>
    <t>Cardboard</t>
  </si>
  <si>
    <t>Source: OIV International Organisation of Vine and Wine: Table 21 METHODOLOGICAL RECOMMENDATIONS FOR ACCOUNTING FOR GHG BALANCE IN THE VITIVINICULTURAL SECTOR</t>
  </si>
  <si>
    <t>KG CO2e / metric ton</t>
  </si>
  <si>
    <t>MT CO2e / MT</t>
  </si>
  <si>
    <t>MT CO2e / lb.</t>
  </si>
  <si>
    <t>Cardboard emissions factor MT CO2e/lb.</t>
  </si>
  <si>
    <t>Sequestration, offsets, or credits</t>
  </si>
  <si>
    <t>These emissions are in your direct control</t>
  </si>
  <si>
    <t>Don't forget that you can purchase green power</t>
  </si>
  <si>
    <t>Look for alternatives to lower these emissions</t>
  </si>
  <si>
    <t>Part of the natural carbon cycle</t>
  </si>
  <si>
    <t>Vegetation absorbing carbon dioxide</t>
  </si>
  <si>
    <t>Smart purchase options to lower your emissions</t>
  </si>
  <si>
    <t>Purchased Electricity**</t>
  </si>
  <si>
    <t>**Emissions calculated for electricity are based on the NWPP and will be accurate for all pacific northwest wineries. See link below for map.</t>
  </si>
  <si>
    <t>• Click + to expand or contract</t>
  </si>
  <si>
    <t>Land Applications</t>
  </si>
  <si>
    <t>Purchased Natural Gas Utility Carbon Offsets</t>
  </si>
  <si>
    <t>Category emissions:</t>
  </si>
  <si>
    <r>
      <t>Emissions factor MT CO</t>
    </r>
    <r>
      <rPr>
        <i/>
        <vertAlign val="subscript"/>
        <sz val="10"/>
        <color theme="1"/>
        <rFont val="Verdana"/>
        <family val="2"/>
      </rPr>
      <t>2</t>
    </r>
    <r>
      <rPr>
        <i/>
        <sz val="10"/>
        <color theme="1"/>
        <rFont val="Verdana"/>
        <family val="2"/>
      </rPr>
      <t>e/acre</t>
    </r>
  </si>
  <si>
    <r>
      <t>Emissions MT CO</t>
    </r>
    <r>
      <rPr>
        <i/>
        <vertAlign val="subscript"/>
        <sz val="10"/>
        <color theme="1"/>
        <rFont val="Verdana"/>
        <family val="2"/>
      </rPr>
      <t>2</t>
    </r>
    <r>
      <rPr>
        <i/>
        <sz val="10"/>
        <color theme="1"/>
        <rFont val="Verdana"/>
        <family val="2"/>
      </rPr>
      <t>e</t>
    </r>
  </si>
  <si>
    <r>
      <t>Tilling emissions MT CO</t>
    </r>
    <r>
      <rPr>
        <i/>
        <vertAlign val="subscript"/>
        <sz val="10"/>
        <color theme="1"/>
        <rFont val="Verdana"/>
        <family val="2"/>
      </rPr>
      <t>2</t>
    </r>
    <r>
      <rPr>
        <i/>
        <sz val="10"/>
        <color theme="1"/>
        <rFont val="Verdana"/>
        <family val="2"/>
      </rPr>
      <t>e</t>
    </r>
  </si>
  <si>
    <t>Tillage</t>
  </si>
  <si>
    <t>Land Use Change</t>
  </si>
  <si>
    <r>
      <rPr>
        <b/>
        <sz val="10"/>
        <rFont val="Verdana"/>
        <family val="2"/>
      </rPr>
      <t>Freight transport is an optional category for your GHG inventory.</t>
    </r>
    <r>
      <rPr>
        <sz val="10"/>
        <rFont val="Verdana"/>
        <family val="2"/>
      </rPr>
      <t xml:space="preserve"> If you would like to include emissions relating to the distribution of your product from your facility, you can collect the pertinent data here.
</t>
    </r>
    <r>
      <rPr>
        <i/>
        <sz val="10"/>
        <rFont val="Verdana"/>
        <family val="2"/>
      </rPr>
      <t xml:space="preserve">To calculate freight transport emissions, you will need to input: </t>
    </r>
    <r>
      <rPr>
        <b/>
        <i/>
        <sz val="10"/>
        <rFont val="Verdana"/>
        <family val="2"/>
      </rPr>
      <t>trip date or ID</t>
    </r>
    <r>
      <rPr>
        <i/>
        <sz val="10"/>
        <rFont val="Verdana"/>
        <family val="2"/>
      </rPr>
      <t xml:space="preserve">; a brief description; units; </t>
    </r>
    <r>
      <rPr>
        <b/>
        <i/>
        <sz val="10"/>
        <rFont val="Verdana"/>
        <family val="2"/>
      </rPr>
      <t>transport mode;</t>
    </r>
    <r>
      <rPr>
        <i/>
        <sz val="10"/>
        <rFont val="Verdana"/>
        <family val="2"/>
      </rPr>
      <t xml:space="preserve"> </t>
    </r>
    <r>
      <rPr>
        <b/>
        <i/>
        <sz val="10"/>
        <rFont val="Verdana"/>
        <family val="2"/>
      </rPr>
      <t>trip mileage;</t>
    </r>
    <r>
      <rPr>
        <i/>
        <sz val="10"/>
        <rFont val="Verdana"/>
        <family val="2"/>
      </rPr>
      <t xml:space="preserve"> and, if the transport included products from other companies, the </t>
    </r>
    <r>
      <rPr>
        <b/>
        <i/>
        <sz val="10"/>
        <rFont val="Verdana"/>
        <family val="2"/>
      </rPr>
      <t>weight</t>
    </r>
    <r>
      <rPr>
        <i/>
        <sz val="10"/>
        <rFont val="Verdana"/>
        <family val="2"/>
      </rPr>
      <t xml:space="preserve"> (in short tons) </t>
    </r>
    <r>
      <rPr>
        <b/>
        <i/>
        <sz val="10"/>
        <rFont val="Verdana"/>
        <family val="2"/>
      </rPr>
      <t>of your transported product</t>
    </r>
    <r>
      <rPr>
        <i/>
        <sz val="10"/>
        <rFont val="Verdana"/>
        <family val="2"/>
      </rPr>
      <t>.</t>
    </r>
  </si>
  <si>
    <t>PRIMARILY SCOPE 1</t>
  </si>
  <si>
    <t>Production Emissions</t>
  </si>
  <si>
    <t>Source: USDA COMET-Planner</t>
  </si>
  <si>
    <t>Dry climate sequestration MT CO2e per acre</t>
  </si>
  <si>
    <t>Moist climate sequestration MT CO2e per acre</t>
  </si>
  <si>
    <t>"tree/shrub establishment"</t>
  </si>
  <si>
    <t>Prescribed grazing land</t>
  </si>
  <si>
    <t>Composted material (off-site only)</t>
  </si>
  <si>
    <t>"While managing your waste is important, managing your purchases, fuel use, and processes is far more impactful in terms of greenhouse gases."</t>
  </si>
  <si>
    <t>As a point of comparison to your results, we are including the emissions sources and relative percentages of impact from an analysis completed by California Sustainable Winegrowing Alliance (see image on the right). Winery emissions are centered on fuel/stationary combustion (Scope 1) and electricity consumption (Scope 2). A much larger concentration of emissions occurs at other stages of the supply chain (vineyard) and product lifecycle (packaging and transport). Choices made by your winery can influence the impacts on how large these other emissions sources are by choosing the transportation mode, glass type and the type of field fertilizers and amendment approaches. You can reduce the emissions for your winery with onsite renewable energy installation, greenpower or the purchase of renewable energy credits (RECs), carbon offsets, or choosing alternative fuels for owned vehicles or choosing a greater percentage of transport in lower emissions options (e.g. rail vs. air).</t>
  </si>
  <si>
    <t>MT CO2e / 1 lb. of oven dried wood</t>
  </si>
  <si>
    <t>kg to lbs.</t>
  </si>
  <si>
    <t>**Source 2: USDA COMET-Planner</t>
  </si>
  <si>
    <r>
      <t>MT CH</t>
    </r>
    <r>
      <rPr>
        <i/>
        <vertAlign val="subscript"/>
        <sz val="10"/>
        <color theme="1"/>
        <rFont val="Verdana"/>
        <family val="2"/>
      </rPr>
      <t>4</t>
    </r>
  </si>
  <si>
    <r>
      <t>MT N</t>
    </r>
    <r>
      <rPr>
        <i/>
        <vertAlign val="subscript"/>
        <sz val="10"/>
        <color theme="1"/>
        <rFont val="Verdana"/>
        <family val="2"/>
      </rPr>
      <t>2</t>
    </r>
    <r>
      <rPr>
        <i/>
        <sz val="10"/>
        <color theme="1"/>
        <rFont val="Verdana"/>
        <family val="2"/>
      </rPr>
      <t>O</t>
    </r>
  </si>
  <si>
    <t>OR</t>
  </si>
  <si>
    <t>Vines</t>
  </si>
  <si>
    <t>Select Climate Region</t>
  </si>
  <si>
    <t>Dry regions</t>
  </si>
  <si>
    <t>Wet regions</t>
  </si>
  <si>
    <t>Wet</t>
  </si>
  <si>
    <t>Drop-down:</t>
  </si>
  <si>
    <t>Washington Columbia Gorge</t>
  </si>
  <si>
    <t>Trees and shrubs (forest)</t>
  </si>
  <si>
    <t>"cover crops"</t>
  </si>
  <si>
    <t>"prescribed grazing land"</t>
  </si>
  <si>
    <t>"conservation cover" and "riparian herbaceous cover"</t>
  </si>
  <si>
    <t>Optional | How much carbon dioxide is stored in my land?</t>
  </si>
  <si>
    <t xml:space="preserve">While this portion is not part of your inventory, many farmers are curious how much carbon dioxide is stored in the plants. </t>
  </si>
  <si>
    <t>Default is no</t>
  </si>
  <si>
    <t>Default is 12</t>
  </si>
  <si>
    <t xml:space="preserve">Default is no	</t>
  </si>
  <si>
    <t>Annual Mileage</t>
  </si>
  <si>
    <t>MPG</t>
  </si>
  <si>
    <t>Winery or Vineyard Name</t>
  </si>
  <si>
    <t>Enter electricity use in kWh for bill period ending in:</t>
  </si>
  <si>
    <t>Intensity Metrics</t>
  </si>
  <si>
    <t>Per acre of vineyard</t>
  </si>
  <si>
    <t>Per acre of whole farm</t>
  </si>
  <si>
    <t>Per case of wine (assumes 12 750mL bottles)</t>
  </si>
  <si>
    <t>Total Property Acreage (acres)</t>
  </si>
  <si>
    <t>Total Annual Production (cases, 12 bottle 750mL equivalent)</t>
  </si>
  <si>
    <t>Unit</t>
  </si>
  <si>
    <r>
      <t>MT CO</t>
    </r>
    <r>
      <rPr>
        <vertAlign val="subscript"/>
        <sz val="10"/>
        <color theme="1"/>
        <rFont val="Verdana"/>
        <family val="2"/>
      </rPr>
      <t>2</t>
    </r>
    <r>
      <rPr>
        <sz val="10"/>
        <color theme="1"/>
        <rFont val="Verdana"/>
        <family val="2"/>
      </rPr>
      <t>e/short ton</t>
    </r>
  </si>
  <si>
    <t>https://www.epa.gov/sites/production/files/2019-10/documents/warm_v15_management_practices_updated_10-08-2019.pdf</t>
  </si>
  <si>
    <t>Source: EPA WARM v15, Management Practices Chapter Exhibit 1-1</t>
  </si>
  <si>
    <t>Conversion to Cubic Yard Equivalent</t>
  </si>
  <si>
    <t>https://www.canr.msu.edu/uploads/236/79117/Compost_for_Midsize_FarmsQuickCourse8pgs.pdf</t>
  </si>
  <si>
    <t xml:space="preserve">Source 2: Michigan State University, Compost for Small and Mid-Sized Farms </t>
  </si>
  <si>
    <r>
      <t>MT CO</t>
    </r>
    <r>
      <rPr>
        <vertAlign val="subscript"/>
        <sz val="10"/>
        <color theme="1"/>
        <rFont val="Verdana"/>
        <family val="2"/>
      </rPr>
      <t>2</t>
    </r>
    <r>
      <rPr>
        <sz val="10"/>
        <color theme="1"/>
        <rFont val="Verdana"/>
        <family val="2"/>
      </rPr>
      <t>e/cubic yard</t>
    </r>
  </si>
  <si>
    <t>Unit (Select from dropdown)</t>
  </si>
  <si>
    <r>
      <t>Emissions factor MT CO</t>
    </r>
    <r>
      <rPr>
        <i/>
        <vertAlign val="subscript"/>
        <sz val="10"/>
        <color theme="1"/>
        <rFont val="Verdana"/>
        <family val="2"/>
      </rPr>
      <t>2</t>
    </r>
    <r>
      <rPr>
        <i/>
        <sz val="10"/>
        <color theme="1"/>
        <rFont val="Verdana"/>
        <family val="2"/>
      </rPr>
      <t>e/cubic yard</t>
    </r>
  </si>
  <si>
    <r>
      <t>Emissions factor MT CO</t>
    </r>
    <r>
      <rPr>
        <i/>
        <vertAlign val="subscript"/>
        <sz val="10"/>
        <color theme="1"/>
        <rFont val="Verdana"/>
        <family val="2"/>
      </rPr>
      <t>2</t>
    </r>
    <r>
      <rPr>
        <i/>
        <sz val="10"/>
        <color theme="1"/>
        <rFont val="Verdana"/>
        <family val="2"/>
      </rPr>
      <t>e/short ton</t>
    </r>
  </si>
  <si>
    <r>
      <t>MT CO</t>
    </r>
    <r>
      <rPr>
        <vertAlign val="subscript"/>
        <sz val="10"/>
        <color theme="1"/>
        <rFont val="Verdana"/>
        <family val="2"/>
      </rPr>
      <t>2</t>
    </r>
    <r>
      <rPr>
        <sz val="10"/>
        <color theme="1"/>
        <rFont val="Verdana"/>
        <family val="2"/>
      </rPr>
      <t>e per acre</t>
    </r>
  </si>
  <si>
    <t>"Organic Soil Amendments". Average for all sources of manure and other organic-by-products as a plant nutrient source.</t>
  </si>
  <si>
    <t>Average for all animal sources of manure and other organic by-products as a plant nutrient source.</t>
  </si>
  <si>
    <t>Mixed Compost (plants and/or food)</t>
  </si>
  <si>
    <t>Produced on-site? Select from drop-down</t>
  </si>
  <si>
    <t>Emissions Factors &amp; Sources</t>
  </si>
  <si>
    <t>Option B: Vehicle Emissions by Use</t>
  </si>
  <si>
    <t>Annual total</t>
  </si>
  <si>
    <r>
      <t>biogenic MT CO</t>
    </r>
    <r>
      <rPr>
        <i/>
        <vertAlign val="subscript"/>
        <sz val="10"/>
        <color theme="1"/>
        <rFont val="Verdana"/>
        <family val="2"/>
      </rPr>
      <t>2</t>
    </r>
  </si>
  <si>
    <r>
      <t>Total MT CO</t>
    </r>
    <r>
      <rPr>
        <i/>
        <vertAlign val="subscript"/>
        <sz val="10"/>
        <color theme="1"/>
        <rFont val="Verdana"/>
        <family val="2"/>
      </rPr>
      <t>2</t>
    </r>
  </si>
  <si>
    <t>Total Fruit Produced (short tons)</t>
  </si>
  <si>
    <t>Per ton of fruit produced</t>
  </si>
  <si>
    <t>On-road</t>
  </si>
  <si>
    <t>Non-road</t>
  </si>
  <si>
    <t>hours</t>
  </si>
  <si>
    <t>Fuel Type (select from drop-down)</t>
  </si>
  <si>
    <t>% covered</t>
  </si>
  <si>
    <t>lbs. total on farm</t>
  </si>
  <si>
    <t>Total annual travel:</t>
  </si>
  <si>
    <t>Total acres managed:</t>
  </si>
  <si>
    <t>Acres managed for this LIVE member:</t>
  </si>
  <si>
    <t>Estimated miles for this LIVE member:</t>
  </si>
  <si>
    <t>Coverage</t>
  </si>
  <si>
    <t>Mileage or ton-miles</t>
  </si>
  <si>
    <t>Name of Offset Purchase Program (if applicable)</t>
  </si>
  <si>
    <t>Mobile Combustion</t>
  </si>
  <si>
    <t># of acres</t>
  </si>
  <si>
    <r>
      <t>kg CH</t>
    </r>
    <r>
      <rPr>
        <i/>
        <vertAlign val="subscript"/>
        <sz val="10"/>
        <color theme="1"/>
        <rFont val="Verdana"/>
        <family val="2"/>
      </rPr>
      <t>4</t>
    </r>
    <r>
      <rPr>
        <i/>
        <sz val="10"/>
        <color theme="1"/>
        <rFont val="Verdana"/>
        <family val="2"/>
      </rPr>
      <t>/gal</t>
    </r>
  </si>
  <si>
    <r>
      <t>MT CO</t>
    </r>
    <r>
      <rPr>
        <i/>
        <vertAlign val="subscript"/>
        <sz val="10"/>
        <color theme="1"/>
        <rFont val="Verdana"/>
        <family val="2"/>
      </rPr>
      <t>2</t>
    </r>
    <r>
      <rPr>
        <i/>
        <sz val="10"/>
        <color theme="1"/>
        <rFont val="Verdana"/>
        <family val="2"/>
      </rPr>
      <t>e of CH</t>
    </r>
    <r>
      <rPr>
        <i/>
        <vertAlign val="subscript"/>
        <sz val="10"/>
        <color theme="1"/>
        <rFont val="Verdana"/>
        <family val="2"/>
      </rPr>
      <t>4</t>
    </r>
  </si>
  <si>
    <r>
      <t>kg N</t>
    </r>
    <r>
      <rPr>
        <i/>
        <vertAlign val="subscript"/>
        <sz val="10"/>
        <color theme="1"/>
        <rFont val="Verdana"/>
        <family val="2"/>
      </rPr>
      <t>2</t>
    </r>
    <r>
      <rPr>
        <i/>
        <sz val="10"/>
        <color theme="1"/>
        <rFont val="Verdana"/>
        <family val="2"/>
      </rPr>
      <t>O/gal</t>
    </r>
  </si>
  <si>
    <r>
      <t>MT CO</t>
    </r>
    <r>
      <rPr>
        <i/>
        <vertAlign val="subscript"/>
        <sz val="10"/>
        <color theme="1"/>
        <rFont val="Verdana"/>
        <family val="2"/>
      </rPr>
      <t>2</t>
    </r>
    <r>
      <rPr>
        <i/>
        <sz val="10"/>
        <color theme="1"/>
        <rFont val="Verdana"/>
        <family val="2"/>
      </rPr>
      <t>e of N</t>
    </r>
    <r>
      <rPr>
        <i/>
        <vertAlign val="subscript"/>
        <sz val="10"/>
        <color theme="1"/>
        <rFont val="Verdana"/>
        <family val="2"/>
      </rPr>
      <t>2</t>
    </r>
    <r>
      <rPr>
        <i/>
        <sz val="10"/>
        <color theme="1"/>
        <rFont val="Verdana"/>
        <family val="2"/>
      </rPr>
      <t>O</t>
    </r>
  </si>
  <si>
    <t>Tractors/Loaders/Backhoes</t>
  </si>
  <si>
    <t>Average HP</t>
  </si>
  <si>
    <t>CO2 Emissions Factor</t>
  </si>
  <si>
    <t>hp</t>
  </si>
  <si>
    <t>g/hp-hr</t>
  </si>
  <si>
    <t>Diesel</t>
  </si>
  <si>
    <t>avg. hp</t>
  </si>
  <si>
    <t>hp-hours</t>
  </si>
  <si>
    <t>Mobile Combustion for Non-road Vehicles</t>
  </si>
  <si>
    <t>Source: EPA Nonroad (Equipment, fuel, and activity data)</t>
  </si>
  <si>
    <t>https://www.epa.gov/moves/nonroad-technical-reports</t>
  </si>
  <si>
    <t>Fuel estimates</t>
  </si>
  <si>
    <t>Gasoline</t>
  </si>
  <si>
    <t>Skid Steer Loaders, ATVs</t>
  </si>
  <si>
    <t>MT CO2/hp-hr</t>
  </si>
  <si>
    <t>MT CO2 / hp-hr</t>
  </si>
  <si>
    <r>
      <t xml:space="preserve">Heavy-duty (e.g. tractor)
</t>
    </r>
    <r>
      <rPr>
        <i/>
        <sz val="10"/>
        <color theme="1"/>
        <rFont val="Verdana"/>
        <family val="2"/>
      </rPr>
      <t>Description</t>
    </r>
  </si>
  <si>
    <t>Total annual gallons, miles, or hours:</t>
  </si>
  <si>
    <t>Estimate for this LIVE member:</t>
  </si>
  <si>
    <t>Enter this figure into the corresponding activity data entry below.</t>
  </si>
  <si>
    <t>Disturbed land (i.e. built space, roads, buildings, dirt lots)</t>
  </si>
  <si>
    <t>RECs or shared renewable energy:</t>
  </si>
  <si>
    <t>Business Travel - Contracted, Rented, or Ticketed Travel</t>
  </si>
  <si>
    <t>Business Travel Emissions Calculation</t>
  </si>
  <si>
    <t>Business Travel</t>
  </si>
  <si>
    <t>gallons</t>
  </si>
  <si>
    <t>cubic yards</t>
  </si>
  <si>
    <t>SOURCE 1: EPA WARM Version 14 (March 2018)</t>
  </si>
  <si>
    <t>https://www2.calrecycle.ca.gov/WasteCharacterization/BusinessGroupRates</t>
  </si>
  <si>
    <t>SOURCE 2: Disposal and Diversion Rates for Business Groups (2014): Other/average</t>
  </si>
  <si>
    <t>pounds / cubic yard</t>
  </si>
  <si>
    <t>Waste type - Source 1</t>
  </si>
  <si>
    <t>Waste estimator - Source 2</t>
  </si>
  <si>
    <t>How many times was it picked up?</t>
  </si>
  <si>
    <t>Estimated waste</t>
  </si>
  <si>
    <t>Optional | How much carbon will be saved thanks to our recycling?</t>
  </si>
  <si>
    <r>
      <t>Total MT CO</t>
    </r>
    <r>
      <rPr>
        <i/>
        <vertAlign val="subscript"/>
        <sz val="10"/>
        <rFont val="Verdana"/>
        <family val="2"/>
      </rPr>
      <t>2</t>
    </r>
    <r>
      <rPr>
        <i/>
        <sz val="10"/>
        <color theme="1"/>
        <rFont val="Verdana"/>
        <family val="2"/>
      </rPr>
      <t>e</t>
    </r>
  </si>
  <si>
    <t>Notes for wineries:</t>
  </si>
  <si>
    <t>Notes for vineyards:</t>
  </si>
  <si>
    <t>Do not expect to fill out every sheet. Focus on: Stationary, mobile, refrigerants, and electricity, then packaging, business travel, freight, and waste as data is available.</t>
  </si>
  <si>
    <t>Land Carbon Storage</t>
  </si>
  <si>
    <t>*Source 1: OIV International Organisation of Vine and Wine: Page 21 METHODOLOGICAL RECOMMENDATIONS FOR ACCOUNTING FOR GHG BALANCE IN THE VITIVINICULTURAL SECTOR</t>
  </si>
  <si>
    <t>96.9% in the soil</t>
  </si>
  <si>
    <t>Interested in learning more? Review these resources!</t>
  </si>
  <si>
    <t>Other</t>
  </si>
  <si>
    <t>http://qtool-web1.nrel.colostate.edu/COMET-Planner_Report_Final.pdf</t>
  </si>
  <si>
    <t>MT CO2e / acre / year</t>
  </si>
  <si>
    <t>Annual increase in carbon storage due to growth</t>
  </si>
  <si>
    <t>Carbon is released all at once</t>
  </si>
  <si>
    <t>Carbon is released over time</t>
  </si>
  <si>
    <t>Permanent Land Use Change</t>
  </si>
  <si>
    <t>Vineyard (distance between rows is negligible as most storage is in the soil)</t>
  </si>
  <si>
    <t>Coverage factor</t>
  </si>
  <si>
    <t>Lbs of active ingredient</t>
  </si>
  <si>
    <t># of times per year</t>
  </si>
  <si>
    <t xml:space="preserve">Management company activity estimator for vehicles and equipment used on multiple sites: </t>
  </si>
  <si>
    <t>Mobile Combustion - Vehicles &amp; Equipment</t>
  </si>
  <si>
    <t>Emissions factor MT CO2e/MT N</t>
  </si>
  <si>
    <t>Emissions factor MT CO2e/lb N</t>
  </si>
  <si>
    <t>Source: OIV International Organisation of Vine and Wine: Table 15 METHODOLOGICAL RECOMMENDATIONS FOR ACCOUNTING FOR GHG BALANCE IN THE VITIVINICULTURAL SECTOR</t>
  </si>
  <si>
    <t>Liquid</t>
  </si>
  <si>
    <t>Name of Natural Gas Utility Company</t>
  </si>
  <si>
    <t>* Standard gasoline is 10% Ethanol (E10).</t>
  </si>
  <si>
    <t>** Standard diesel is 5% Biodiesel (B5).</t>
  </si>
  <si>
    <t>On-Road Vehicles (miles)</t>
  </si>
  <si>
    <t>Non-Road Vehicles (hours)</t>
  </si>
  <si>
    <r>
      <t xml:space="preserve">lbs. of </t>
    </r>
    <r>
      <rPr>
        <b/>
        <sz val="10"/>
        <color theme="1"/>
        <rFont val="Verdana"/>
        <family val="2"/>
      </rPr>
      <t>nitrogen</t>
    </r>
    <r>
      <rPr>
        <sz val="10"/>
        <color theme="1"/>
        <rFont val="Verdana"/>
        <family val="2"/>
      </rPr>
      <t xml:space="preserve"> per acre</t>
    </r>
  </si>
  <si>
    <t>Fertilizers &amp; Pesticides</t>
  </si>
  <si>
    <t>Pesticides</t>
  </si>
  <si>
    <t xml:space="preserve">  </t>
  </si>
  <si>
    <t>Enter the number of acres of each land use type.</t>
  </si>
  <si>
    <t>Nitrogen solutions</t>
  </si>
  <si>
    <t>Other average Nitrogen</t>
  </si>
  <si>
    <r>
      <rPr>
        <b/>
        <sz val="10"/>
        <color theme="1"/>
        <rFont val="Verdana"/>
        <family val="2"/>
      </rPr>
      <t>ounces</t>
    </r>
    <r>
      <rPr>
        <sz val="10"/>
        <color theme="1"/>
        <rFont val="Verdana"/>
        <family val="2"/>
      </rPr>
      <t xml:space="preserve"> of product per acre</t>
    </r>
  </si>
  <si>
    <t>OIV</t>
  </si>
  <si>
    <t>http://www.herbiguide.com.au/Labels/GLY36_31393-54214.PDF</t>
  </si>
  <si>
    <t>Animal-derived amendments, including animal waste &amp; by-products/manure</t>
  </si>
  <si>
    <r>
      <rPr>
        <b/>
        <sz val="10"/>
        <color theme="1"/>
        <rFont val="Verdana"/>
        <family val="2"/>
      </rPr>
      <t>lbs.</t>
    </r>
    <r>
      <rPr>
        <sz val="10"/>
        <color theme="1"/>
        <rFont val="Verdana"/>
        <family val="2"/>
      </rPr>
      <t xml:space="preserve"> of product per acre</t>
    </r>
  </si>
  <si>
    <t>Emissions factor MT CO2e/ounce</t>
  </si>
  <si>
    <t>Year total</t>
  </si>
  <si>
    <t xml:space="preserve">Average herbicide </t>
  </si>
  <si>
    <t>Tool:</t>
  </si>
  <si>
    <r>
      <rPr>
        <b/>
        <i/>
        <sz val="12"/>
        <color theme="4"/>
        <rFont val="Verdana"/>
        <family val="2"/>
      </rPr>
      <t>Tool:</t>
    </r>
    <r>
      <rPr>
        <b/>
        <sz val="12"/>
        <color theme="4"/>
        <rFont val="Verdana"/>
        <family val="2"/>
      </rPr>
      <t xml:space="preserve"> </t>
    </r>
  </si>
  <si>
    <r>
      <rPr>
        <b/>
        <sz val="11"/>
        <rFont val="Verdana"/>
        <family val="2"/>
      </rPr>
      <t>Offsite waste is an optional category for your GHG inventory.</t>
    </r>
    <r>
      <rPr>
        <sz val="11"/>
        <rFont val="Verdana"/>
        <family val="2"/>
      </rPr>
      <t xml:space="preserve"> All waste management methods emit a certain amount of GHGs, based on the manner in which they decompose. This worksheet should only be used to track waste collected by your commercial waste hauler and sent to a commercial facility. Do not enter data from waste management strategies completed on-site </t>
    </r>
    <r>
      <rPr>
        <sz val="11"/>
        <color rgb="FF7030A0"/>
        <rFont val="Verdana"/>
        <family val="2"/>
      </rPr>
      <t>(like composting</t>
    </r>
    <r>
      <rPr>
        <sz val="11"/>
        <rFont val="Verdana"/>
        <family val="2"/>
      </rPr>
      <t xml:space="preserve">).
</t>
    </r>
    <r>
      <rPr>
        <i/>
        <sz val="11"/>
        <rFont val="Verdana"/>
        <family val="2"/>
      </rPr>
      <t>If off-site waste is tracked by your winery, you may use this worksheet to calculate emissions resulting from off-site waste management strategies and report these emissions.</t>
    </r>
  </si>
  <si>
    <t>Don't know the weight of the landfilled waste? Enter the size of your waste bin (either in yards or gallons below) to estimate:</t>
  </si>
  <si>
    <t>Pounds of waste sent to the landfill:</t>
  </si>
  <si>
    <t>e.g. this year/month</t>
  </si>
  <si>
    <r>
      <t xml:space="preserve">Stationary combustion is a required category for your GHG inventory. Stationary combustion emissions are generated from non-moving sources that use fuel. Typical equipment that results in stationary combustion emissions includes furnaces, burners, turbines, internal combustion engines, boilers and generators. 
</t>
    </r>
    <r>
      <rPr>
        <i/>
        <sz val="10"/>
        <color theme="1"/>
        <rFont val="Verdana"/>
        <family val="2"/>
      </rPr>
      <t>To calculate emissions from stationary combustion, you will need to collect information on the type and quantity of fuel consumed by this equipment over the course of the year.</t>
    </r>
  </si>
  <si>
    <t>Enter monthly usage data for the fuel types pertinent to your organization in the cells below. The most common fuel types are listed under "common fossil fuels", with more options below.</t>
  </si>
  <si>
    <t>Do you participate in a Natural Gas offset program? Enter that information ere. Other non-utility carbon offsets can be entered in the Report tab.</t>
  </si>
  <si>
    <r>
      <t>Tool:</t>
    </r>
    <r>
      <rPr>
        <b/>
        <sz val="12"/>
        <color rgb="FFED7D31"/>
        <rFont val="Verdana"/>
        <family val="2"/>
      </rPr>
      <t xml:space="preserve"> </t>
    </r>
  </si>
  <si>
    <t>Option A: Vehicle Emissions by Fuel Use</t>
  </si>
  <si>
    <r>
      <rPr>
        <b/>
        <sz val="12"/>
        <rFont val="Verdana"/>
        <family val="2"/>
      </rPr>
      <t>Mobile combustion is a required category for your GHG inventory for all vehicles &amp; equipment owned by and/or used on the farm or winery.</t>
    </r>
    <r>
      <rPr>
        <sz val="12"/>
        <rFont val="Verdana"/>
        <family val="2"/>
      </rPr>
      <t xml:space="preserve"> Mobile combustion sources are vehicular emitters of GHGs such as cars and trucks, as well as tractors and forklifts owned by the organization. 
</t>
    </r>
    <r>
      <rPr>
        <i/>
        <sz val="12"/>
        <rFont val="Verdana"/>
        <family val="2"/>
      </rPr>
      <t xml:space="preserve">You can calculate emissions by using one of two different methods: </t>
    </r>
    <r>
      <rPr>
        <b/>
        <i/>
        <sz val="12"/>
        <rFont val="Verdana"/>
        <family val="2"/>
      </rPr>
      <t>fuel use</t>
    </r>
    <r>
      <rPr>
        <i/>
        <sz val="12"/>
        <rFont val="Verdana"/>
        <family val="2"/>
      </rPr>
      <t xml:space="preserve"> (option A noted below) or </t>
    </r>
    <r>
      <rPr>
        <b/>
        <i/>
        <sz val="12"/>
        <rFont val="Verdana"/>
        <family val="2"/>
      </rPr>
      <t>vehicle use</t>
    </r>
    <r>
      <rPr>
        <i/>
        <sz val="12"/>
        <rFont val="Verdana"/>
        <family val="2"/>
      </rPr>
      <t xml:space="preserve"> by mileage or hours (option B noted below). If you have different data for different vehicles (e.g. gallons for tractors and miles for cars) you can combine methods to measure your emissions.</t>
    </r>
    <r>
      <rPr>
        <b/>
        <i/>
        <sz val="12"/>
        <rFont val="Verdana"/>
        <family val="2"/>
      </rPr>
      <t xml:space="preserve"> 
Does your LIVE member use a management company?</t>
    </r>
    <r>
      <rPr>
        <i/>
        <sz val="12"/>
        <rFont val="Verdana"/>
        <family val="2"/>
      </rPr>
      <t xml:space="preserve"> All vehicles and equipment used regularly on/by the member site should be accounted for, but you do not need to count vehicles traveling between sites. See scope 3 Business Travel for management company vehicles used exclusively to travel between sites (optional but recommended).</t>
    </r>
    <r>
      <rPr>
        <b/>
        <i/>
        <sz val="12"/>
        <rFont val="Verdana"/>
        <family val="2"/>
      </rPr>
      <t xml:space="preserve">
</t>
    </r>
    <r>
      <rPr>
        <sz val="12"/>
        <rFont val="Verdana"/>
        <family val="2"/>
      </rPr>
      <t xml:space="preserve">
Electric vehicles are not part of Scope 1 emissions, and may be captured in the Electricity tab if charged on-site.</t>
    </r>
  </si>
  <si>
    <t>Biogenic Skid steers and ATVS</t>
  </si>
  <si>
    <t>Biogenic Tractors, loaders, backhoes</t>
  </si>
  <si>
    <t>Biogenic MT CO2 / hp-hr</t>
  </si>
  <si>
    <t>Annual hours</t>
  </si>
  <si>
    <r>
      <rPr>
        <i/>
        <sz val="12"/>
        <rFont val="Verdana"/>
        <family val="2"/>
      </rPr>
      <t xml:space="preserve">Enter vehicle description, fuel type, MPG &amp; miles </t>
    </r>
    <r>
      <rPr>
        <b/>
        <i/>
        <sz val="12"/>
        <rFont val="Verdana"/>
        <family val="2"/>
      </rPr>
      <t>-or-</t>
    </r>
    <r>
      <rPr>
        <i/>
        <sz val="12"/>
        <rFont val="Verdana"/>
        <family val="2"/>
      </rPr>
      <t xml:space="preserve"> hours driven. </t>
    </r>
    <r>
      <rPr>
        <i/>
        <sz val="12"/>
        <color rgb="FFFF0000"/>
        <rFont val="Verdana"/>
        <family val="2"/>
      </rPr>
      <t xml:space="preserve">Select fuel type from the drop-down menu by clicking the bottom right corner of the cell. </t>
    </r>
    <r>
      <rPr>
        <i/>
        <sz val="12"/>
        <rFont val="Verdana"/>
        <family val="2"/>
      </rPr>
      <t xml:space="preserve">To determine miles per gallon, you can use the fuel economy factors at http://www.fueleconomy.gov/. </t>
    </r>
  </si>
  <si>
    <r>
      <rPr>
        <b/>
        <sz val="10"/>
        <rFont val="Verdana"/>
        <family val="2"/>
      </rPr>
      <t>Fugitive emissions is a required category for your GHG inventory</t>
    </r>
    <r>
      <rPr>
        <sz val="10"/>
        <rFont val="Verdana"/>
        <family val="2"/>
      </rPr>
      <t xml:space="preserve">. Fugitive emissions occur when refrigerants from air conditioning and refrigeration equipment leak or evaporate. While functioning equipment is not likely to have a lot of leaks or emissions, refrigerants can be a large source of emissions if equipment is broken, recharged (new refrigerant added), or thrown out. </t>
    </r>
    <r>
      <rPr>
        <i/>
        <sz val="10"/>
        <rFont val="Verdana"/>
        <family val="2"/>
      </rPr>
      <t xml:space="preserve">You can calculate fugitive emissions using one of two methods: </t>
    </r>
    <r>
      <rPr>
        <b/>
        <i/>
        <sz val="10"/>
        <rFont val="Verdana"/>
        <family val="2"/>
      </rPr>
      <t>refrigerant weight</t>
    </r>
    <r>
      <rPr>
        <i/>
        <sz val="10"/>
        <rFont val="Verdana"/>
        <family val="2"/>
      </rPr>
      <t xml:space="preserve"> (preferred, option A below) or </t>
    </r>
    <r>
      <rPr>
        <b/>
        <i/>
        <sz val="10"/>
        <rFont val="Verdana"/>
        <family val="2"/>
      </rPr>
      <t>default loss rate</t>
    </r>
    <r>
      <rPr>
        <i/>
        <sz val="10"/>
        <rFont val="Verdana"/>
        <family val="2"/>
      </rPr>
      <t xml:space="preserve"> (option B below). </t>
    </r>
    <r>
      <rPr>
        <sz val="10"/>
        <rFont val="Verdana"/>
        <family val="2"/>
      </rPr>
      <t xml:space="preserve">
It is important to keep equipment and service records so that you know the refrigerant type and amounts associated with your systems. Be sure to include a full list of the equipment in the category </t>
    </r>
    <r>
      <rPr>
        <b/>
        <sz val="10"/>
        <rFont val="Verdana"/>
        <family val="2"/>
      </rPr>
      <t>Notes</t>
    </r>
    <r>
      <rPr>
        <sz val="10"/>
        <rFont val="Verdana"/>
        <family val="2"/>
      </rPr>
      <t xml:space="preserve"> below, so that changes from year to year are recorded.</t>
    </r>
  </si>
  <si>
    <t>Broken or thrown out this year?</t>
  </si>
  <si>
    <t>Type (enter in lbs.)</t>
  </si>
  <si>
    <r>
      <rPr>
        <b/>
        <sz val="11"/>
        <rFont val="Verdana"/>
        <family val="2"/>
      </rPr>
      <t>Business travel is an optional category for your GHG inventory</t>
    </r>
    <r>
      <rPr>
        <sz val="11"/>
        <rFont val="Verdana"/>
        <family val="2"/>
      </rPr>
      <t xml:space="preserve">. This category captures emissions related to the travel you, your employees, or management company perform(s) in vehicles that are not owned by your organization. This includes travel in airplanes, trains, or personal vehicles used for all business-related events. </t>
    </r>
    <r>
      <rPr>
        <b/>
        <sz val="11"/>
        <rFont val="Verdana"/>
        <family val="2"/>
      </rPr>
      <t>This section also applies for contracted travel, including vineyard management company travel.</t>
    </r>
    <r>
      <rPr>
        <sz val="11"/>
        <rFont val="Verdana"/>
        <family val="2"/>
      </rPr>
      <t xml:space="preserve">
</t>
    </r>
    <r>
      <rPr>
        <i/>
        <sz val="11"/>
        <rFont val="Verdana"/>
        <family val="2"/>
      </rPr>
      <t xml:space="preserve">To calculate GHG emissions related to business travel, you will need to capture mileage information for all business trips made by you and your employees. List all mileage for business travel below; do your best to define the specific type of vehicle used. </t>
    </r>
  </si>
  <si>
    <r>
      <t xml:space="preserve">Enter total mileage in the table. </t>
    </r>
    <r>
      <rPr>
        <b/>
        <i/>
        <sz val="10"/>
        <rFont val="Verdana"/>
        <family val="2"/>
      </rPr>
      <t>You may enter data either by the month or as a year-end total (in any one month).</t>
    </r>
  </si>
  <si>
    <r>
      <t xml:space="preserve">Enter the number of acres by tillage type. </t>
    </r>
    <r>
      <rPr>
        <b/>
        <i/>
        <sz val="10"/>
        <color theme="1"/>
        <rFont val="Verdana"/>
        <family val="2"/>
      </rPr>
      <t>Please see link for questions - estimates are ok.</t>
    </r>
    <r>
      <rPr>
        <i/>
        <sz val="10"/>
        <color theme="1"/>
        <rFont val="Verdana"/>
        <family val="2"/>
      </rPr>
      <t xml:space="preserve"> </t>
    </r>
  </si>
  <si>
    <t>Light Tillage - maximum once per year or between rows up to two times</t>
  </si>
  <si>
    <t>Non-vineyard crops and seasonal plantings</t>
  </si>
  <si>
    <t>Non-forest ecological protection zone</t>
  </si>
  <si>
    <r>
      <t xml:space="preserve">Enter the area (number of acres) that have permanently changed from one type of vegetation or land use to another in the </t>
    </r>
    <r>
      <rPr>
        <b/>
        <i/>
        <sz val="10"/>
        <color theme="1"/>
        <rFont val="Verdana"/>
        <family val="2"/>
      </rPr>
      <t>past 20 years</t>
    </r>
    <r>
      <rPr>
        <i/>
        <sz val="10"/>
        <color theme="1"/>
        <rFont val="Verdana"/>
        <family val="2"/>
      </rPr>
      <t xml:space="preserve"> on the site. Only list permanent changes, not crop rotations or seasonal variations.</t>
    </r>
    <r>
      <rPr>
        <sz val="10"/>
        <color theme="1"/>
        <rFont val="Verdana"/>
        <family val="2"/>
      </rPr>
      <t xml:space="preserve">
</t>
    </r>
    <r>
      <rPr>
        <b/>
        <sz val="10"/>
        <color theme="1"/>
        <rFont val="Verdana"/>
        <family val="2"/>
      </rPr>
      <t xml:space="preserve">
From:</t>
    </r>
  </si>
  <si>
    <t>Emissions factor MT CO2e / acre</t>
  </si>
  <si>
    <r>
      <t>Emissions or sequestration MT CO</t>
    </r>
    <r>
      <rPr>
        <i/>
        <vertAlign val="subscript"/>
        <sz val="10"/>
        <color theme="1"/>
        <rFont val="Verdana"/>
        <family val="2"/>
      </rPr>
      <t>2</t>
    </r>
    <r>
      <rPr>
        <i/>
        <sz val="10"/>
        <color theme="1"/>
        <rFont val="Verdana"/>
        <family val="2"/>
      </rPr>
      <t>e</t>
    </r>
  </si>
  <si>
    <r>
      <t xml:space="preserve">Reference service and equipment records to determine the </t>
    </r>
    <r>
      <rPr>
        <b/>
        <i/>
        <sz val="10"/>
        <rFont val="Verdana"/>
        <family val="2"/>
      </rPr>
      <t>weight of refrigerant emitted</t>
    </r>
    <r>
      <rPr>
        <i/>
        <sz val="10"/>
        <rFont val="Verdana"/>
        <family val="2"/>
      </rPr>
      <t>, which is the sum of:
• the weight of refrigerant emitted during installation from equipment that was installed and charged on-site (not pre-charged by the manufacturer)
• the weight of refrigerant used to re-charge equipment that is in use; and
• the weight of refrigerant emitted from equipment that was retired (e.g. broken or thrown out - the system's charge at the point of retirement, minus recovered refrigerant).</t>
    </r>
  </si>
  <si>
    <r>
      <t>Emissions factor MT CO</t>
    </r>
    <r>
      <rPr>
        <i/>
        <vertAlign val="subscript"/>
        <sz val="10"/>
        <color theme="1"/>
        <rFont val="Verdana"/>
        <family val="2"/>
      </rPr>
      <t>2</t>
    </r>
    <r>
      <rPr>
        <i/>
        <sz val="10"/>
        <color theme="1"/>
        <rFont val="Verdana"/>
        <family val="2"/>
      </rPr>
      <t>e/lb</t>
    </r>
  </si>
  <si>
    <t>Option to enter lbs or liquid ounces of product use</t>
  </si>
  <si>
    <t>Roundup (Monsanto)</t>
  </si>
  <si>
    <t>kg/L</t>
  </si>
  <si>
    <t>lbs/ounce</t>
  </si>
  <si>
    <t>lbs/L</t>
  </si>
  <si>
    <t>Total ounces</t>
  </si>
  <si>
    <t>Source 1: OIV International Organisation of Vine and Wine: Table 16 METHODOLOGICAL RECOMMENDATIONS FOR ACCOUNTING FOR GHG BALANCE IN THE VITIVINICULTURAL SECTOR</t>
  </si>
  <si>
    <t>Source 2: RoundUp fact sheet</t>
  </si>
  <si>
    <r>
      <t>Emissions factor MT CO</t>
    </r>
    <r>
      <rPr>
        <i/>
        <vertAlign val="subscript"/>
        <sz val="10"/>
        <color theme="1"/>
        <rFont val="Verdana"/>
        <family val="2"/>
      </rPr>
      <t>2</t>
    </r>
    <r>
      <rPr>
        <i/>
        <sz val="10"/>
        <color theme="1"/>
        <rFont val="Verdana"/>
        <family val="2"/>
      </rPr>
      <t>e/ounce</t>
    </r>
  </si>
  <si>
    <t>Exact mulch quantity and composition are not important.</t>
  </si>
  <si>
    <t>Exact mix of vegetation to food waste is not important.</t>
  </si>
  <si>
    <t>Fertilizer</t>
  </si>
  <si>
    <t>Cover and beneficial soil amendments</t>
  </si>
  <si>
    <r>
      <t>Renewable Energy Credits</t>
    </r>
    <r>
      <rPr>
        <sz val="10"/>
        <rFont val="Verdana"/>
        <family val="2"/>
      </rPr>
      <t xml:space="preserve"> purchased (in kWh)</t>
    </r>
  </si>
  <si>
    <r>
      <t xml:space="preserve">kWh produced on site </t>
    </r>
    <r>
      <rPr>
        <b/>
        <sz val="10"/>
        <rFont val="Verdana"/>
        <family val="2"/>
      </rPr>
      <t>and</t>
    </r>
    <r>
      <rPr>
        <sz val="10"/>
        <rFont val="Verdana"/>
        <family val="2"/>
      </rPr>
      <t xml:space="preserve"> sent to grid</t>
    </r>
  </si>
  <si>
    <r>
      <t xml:space="preserve">Light-duty (e.g. skid steer, ATV)
</t>
    </r>
    <r>
      <rPr>
        <i/>
        <sz val="10"/>
        <color theme="1"/>
        <rFont val="Verdana"/>
        <family val="2"/>
      </rPr>
      <t>Description</t>
    </r>
  </si>
  <si>
    <t>Installed or re-charged on-site this year?</t>
  </si>
  <si>
    <r>
      <rPr>
        <i/>
        <sz val="10"/>
        <rFont val="Verdana"/>
        <family val="2"/>
      </rPr>
      <t>Reference the equipment records to determine each system's type and total refrigerant capacity. Default emissions factors are assigned to each system type and will be applied to give you an emissions estimate.</t>
    </r>
    <r>
      <rPr>
        <i/>
        <sz val="10"/>
        <color rgb="FFFF0000"/>
        <rFont val="Verdana"/>
        <family val="2"/>
      </rPr>
      <t xml:space="preserve">
</t>
    </r>
    <r>
      <rPr>
        <i/>
        <sz val="10"/>
        <rFont val="Verdana"/>
        <family val="2"/>
      </rPr>
      <t xml:space="preserve">• Select yes for equipment </t>
    </r>
    <r>
      <rPr>
        <b/>
        <i/>
        <sz val="10"/>
        <rFont val="Verdana"/>
        <family val="2"/>
      </rPr>
      <t>INSTALLED or RE-CHARGED</t>
    </r>
    <r>
      <rPr>
        <i/>
        <sz val="10"/>
        <rFont val="Verdana"/>
        <family val="2"/>
      </rPr>
      <t xml:space="preserve"> if the equipment was filled or re-filled with refrigerant (not precharged by the manufacturer).
• Select yes for equipment </t>
    </r>
    <r>
      <rPr>
        <b/>
        <i/>
        <sz val="10"/>
        <rFont val="Verdana"/>
        <family val="2"/>
      </rPr>
      <t>BROKEN or THROWN OUT</t>
    </r>
    <r>
      <rPr>
        <i/>
        <sz val="10"/>
        <rFont val="Verdana"/>
        <family val="2"/>
      </rPr>
      <t xml:space="preserve"> if the refrigerant escaped in the reporting year.
• Indicate the portion of the year for which equipment was on site (12 months are assumed and entered, but you can adjust this)</t>
    </r>
  </si>
  <si>
    <t>Equipment type</t>
  </si>
  <si>
    <t>MT CO₂e</t>
  </si>
  <si>
    <t>Did you know that single-use glass bottles are high in carbon emissions? Consider different packaging!</t>
  </si>
  <si>
    <t xml:space="preserve">Management company activity estimator for vehicles and equipment used for multiple members: </t>
  </si>
  <si>
    <t>Shipping method matters!</t>
  </si>
  <si>
    <r>
      <rPr>
        <b/>
        <sz val="10"/>
        <rFont val="Verdana"/>
        <family val="2"/>
      </rPr>
      <t>Vineyard Land Management is required for all vineyards as both benefits and emissions can be impactful.</t>
    </r>
    <r>
      <rPr>
        <sz val="10"/>
        <rFont val="Verdana"/>
        <family val="2"/>
      </rPr>
      <t xml:space="preserve"> As LIVE members know, there are many regenerative alternatives to conventional practices that not only lower your carbon footprint, but also protect water sources, flora and fauna, and other crops.
</t>
    </r>
    <r>
      <rPr>
        <b/>
        <sz val="10"/>
        <color rgb="FFED7C31"/>
        <rFont val="Verdana"/>
        <family val="2"/>
      </rPr>
      <t>Do I enter data for my whole farm or just my vineyard?</t>
    </r>
    <r>
      <rPr>
        <sz val="10"/>
        <rFont val="Verdana"/>
        <family val="2"/>
      </rPr>
      <t xml:space="preserve"> More data is better! Fill out data for the whole farm if possible.</t>
    </r>
  </si>
  <si>
    <r>
      <rPr>
        <b/>
        <sz val="10"/>
        <color theme="1"/>
        <rFont val="Verdana"/>
        <family val="2"/>
      </rPr>
      <t>Vineyard Land Applications required for all vineyards as both benefits and emissions can be impactful.</t>
    </r>
    <r>
      <rPr>
        <sz val="10"/>
        <color theme="1"/>
        <rFont val="Verdana"/>
        <family val="2"/>
      </rPr>
      <t xml:space="preserve"> As LIVE members know, there are many regenerative alternatives to conventional practices that not only lower your carbon footprint, but also protect water sources, flora and fauna, and other crops.
</t>
    </r>
    <r>
      <rPr>
        <b/>
        <sz val="10"/>
        <color rgb="FFED7C31"/>
        <rFont val="Verdana"/>
        <family val="2"/>
      </rPr>
      <t xml:space="preserve">Do I enter data for my whole farm or just my vineyard? </t>
    </r>
    <r>
      <rPr>
        <sz val="10"/>
        <color theme="1"/>
        <rFont val="Verdana"/>
        <family val="2"/>
      </rPr>
      <t>More data is better! Fill out data for the whole farm if possible.</t>
    </r>
  </si>
  <si>
    <t>Sample product</t>
  </si>
  <si>
    <t>Regenerative Activities &amp; Inputs</t>
  </si>
  <si>
    <t>From no cover crop to seasonal cover crop</t>
  </si>
  <si>
    <t>From no cover crop to 50% cover seasonal crop or between rows</t>
  </si>
  <si>
    <t>From cropland to pasture or hay</t>
  </si>
  <si>
    <t>Pg. 15 forage and biomass planting</t>
  </si>
  <si>
    <t>Pg. 9 cover crops</t>
  </si>
  <si>
    <t>50% of above</t>
  </si>
  <si>
    <t>Pg. 14 conservation cover</t>
  </si>
  <si>
    <t>From cropland to permanent vegetative cover, barriers, or buffers (ecological protection zone)</t>
  </si>
  <si>
    <t>From trees and shrubs to cropland - debris is composted, chipped, or repurposed</t>
  </si>
  <si>
    <t>From trees and shrubs to cropland - debris is burned</t>
  </si>
  <si>
    <t>From permanent vegetative cover to cropland - debris is composted, chipped, or repurposed</t>
  </si>
  <si>
    <t>From permanent vegetative cover to cropland - debris is burned</t>
  </si>
  <si>
    <r>
      <t xml:space="preserve">Do not expect to fill out every sheet. Focus on: Stationary, mobile, land applications, land management, and electricity, then business travel, freight, and waste as data is available. 
Aim for </t>
    </r>
    <r>
      <rPr>
        <b/>
        <sz val="11"/>
        <color theme="1"/>
        <rFont val="Verdana"/>
        <family val="2"/>
      </rPr>
      <t>whole farm</t>
    </r>
    <r>
      <rPr>
        <sz val="11"/>
        <color theme="1"/>
        <rFont val="Verdana"/>
        <family val="2"/>
      </rPr>
      <t xml:space="preserve"> data whenever possible, and note any areas of vineyard only data. Bigger picture is better!</t>
    </r>
  </si>
  <si>
    <t>What do I need to fill out?</t>
  </si>
  <si>
    <t>If the cell is white, it's optional!</t>
  </si>
  <si>
    <r>
      <t xml:space="preserve">Do you see a </t>
    </r>
    <r>
      <rPr>
        <b/>
        <i/>
        <sz val="12"/>
        <color rgb="FF267482"/>
        <rFont val="Verdana"/>
        <family val="2"/>
      </rPr>
      <t>Tool</t>
    </r>
    <r>
      <rPr>
        <sz val="12"/>
        <color theme="1"/>
        <rFont val="Verdana"/>
        <family val="2"/>
      </rPr>
      <t>? We've added some helpful tools throughout to easily convert units and prorate activity data. Feel free to change these numbers. Don't need it? Skip it.</t>
    </r>
  </si>
  <si>
    <r>
      <t xml:space="preserve">• </t>
    </r>
    <r>
      <rPr>
        <b/>
        <sz val="12"/>
        <color theme="1"/>
        <rFont val="Verdana"/>
        <family val="2"/>
      </rPr>
      <t>Read the introductory text for each emissions category</t>
    </r>
    <r>
      <rPr>
        <sz val="12"/>
        <color theme="1"/>
        <rFont val="Verdana"/>
        <family val="2"/>
      </rPr>
      <t>. It includes details on whether the category is required, a description of the category, and what data are necessary to account for your emissions.
•</t>
    </r>
    <r>
      <rPr>
        <b/>
        <sz val="12"/>
        <color theme="1"/>
        <rFont val="Verdana"/>
        <family val="2"/>
      </rPr>
      <t xml:space="preserve"> Save and organize and all records</t>
    </r>
    <r>
      <rPr>
        <sz val="12"/>
        <color theme="1"/>
        <rFont val="Verdana"/>
        <family val="2"/>
      </rPr>
      <t xml:space="preserve"> (receipts, logs, bills, etc.) used for your GHG inventory in one location, to facilitate the verification process.
• </t>
    </r>
    <r>
      <rPr>
        <b/>
        <sz val="12"/>
        <color theme="1"/>
        <rFont val="Verdana"/>
        <family val="2"/>
      </rPr>
      <t xml:space="preserve">Estimates are ok! </t>
    </r>
    <r>
      <rPr>
        <sz val="12"/>
        <color theme="1"/>
        <rFont val="Verdana"/>
        <family val="2"/>
      </rPr>
      <t xml:space="preserve">Aim for a balance of accuracy, convenience, and what you are capable of documenting. No inventory is perfect. Note special circumstance and fill out what you can. If you are missing data one year, figure out a system and aim to collect it for the next.
• </t>
    </r>
    <r>
      <rPr>
        <b/>
        <sz val="12"/>
        <color theme="1"/>
        <rFont val="Verdana"/>
        <family val="2"/>
      </rPr>
      <t>Does the LIVE member use a management company?</t>
    </r>
    <r>
      <rPr>
        <sz val="12"/>
        <color theme="1"/>
        <rFont val="Verdana"/>
        <family val="2"/>
      </rPr>
      <t xml:space="preserve"> Focus data collection on what happens at the site and what is critical for operations.
• </t>
    </r>
    <r>
      <rPr>
        <b/>
        <sz val="12"/>
        <color theme="1"/>
        <rFont val="Verdana"/>
        <family val="2"/>
      </rPr>
      <t>Submit your completed workbook</t>
    </r>
    <r>
      <rPr>
        <sz val="12"/>
        <color theme="1"/>
        <rFont val="Verdana"/>
        <family val="2"/>
      </rPr>
      <t xml:space="preserve"> by uploading it to your winery records on the LIVE website, or emailing it to info@liveinc.org. For questions or assistance with the data collection process, please feel free to contact LIVE at 503-584-7274 or admin@livecertified.org.
</t>
    </r>
    <r>
      <rPr>
        <b/>
        <i/>
        <sz val="12"/>
        <color theme="1"/>
        <rFont val="Verdana"/>
        <family val="2"/>
      </rPr>
      <t>Thank you for using this workbook. This workbook was updated by Good Company in 2020 with contributions from LIVE representatives and members. Let us know how we can keep improving it!</t>
    </r>
  </si>
  <si>
    <t>Tillage - more than once per year or more than two times between rows</t>
  </si>
  <si>
    <r>
      <t xml:space="preserve">This workbook is designed to facilitate your winery's tracking and understanding of its greenhouse gas emissions. </t>
    </r>
    <r>
      <rPr>
        <b/>
        <sz val="12"/>
        <color theme="1"/>
        <rFont val="Verdana"/>
        <family val="2"/>
      </rPr>
      <t xml:space="preserve">The emissions categories are in separate worksheets and are organized as follows. </t>
    </r>
    <r>
      <rPr>
        <sz val="12"/>
        <color theme="1"/>
        <rFont val="Verdana"/>
        <family val="2"/>
      </rPr>
      <t xml:space="preserve">Each emission category has its own worksheet, and are organized by color and scope. 
</t>
    </r>
    <r>
      <rPr>
        <sz val="12"/>
        <color theme="5"/>
        <rFont val="Verdana"/>
        <family val="2"/>
      </rPr>
      <t xml:space="preserve">• </t>
    </r>
    <r>
      <rPr>
        <i/>
        <sz val="12"/>
        <color theme="5"/>
        <rFont val="Verdana"/>
        <family val="2"/>
      </rPr>
      <t>Scope 1 Emissions:</t>
    </r>
    <r>
      <rPr>
        <sz val="12"/>
        <color theme="5"/>
        <rFont val="Verdana"/>
        <family val="2"/>
      </rPr>
      <t xml:space="preserve"> Stationary Combustion, Mobile Combustion, Refrigerants, Land Applications, and Land Management.</t>
    </r>
    <r>
      <rPr>
        <sz val="12"/>
        <color theme="9" tint="-0.249977111117893"/>
        <rFont val="Verdana"/>
        <family val="2"/>
      </rPr>
      <t xml:space="preserve">
• </t>
    </r>
    <r>
      <rPr>
        <i/>
        <sz val="12"/>
        <color theme="9" tint="-0.249977111117893"/>
        <rFont val="Verdana"/>
        <family val="2"/>
      </rPr>
      <t>Scope 2 Emissions:</t>
    </r>
    <r>
      <rPr>
        <sz val="12"/>
        <color theme="9" tint="-0.249977111117893"/>
        <rFont val="Verdana"/>
        <family val="2"/>
      </rPr>
      <t xml:space="preserve"> Purchased Electricity.
</t>
    </r>
    <r>
      <rPr>
        <sz val="12"/>
        <color theme="4"/>
        <rFont val="Verdana"/>
        <family val="2"/>
      </rPr>
      <t xml:space="preserve">• </t>
    </r>
    <r>
      <rPr>
        <i/>
        <sz val="12"/>
        <color theme="4"/>
        <rFont val="Verdana"/>
        <family val="2"/>
      </rPr>
      <t>Scope 3 Emissions:</t>
    </r>
    <r>
      <rPr>
        <sz val="12"/>
        <color theme="4"/>
        <rFont val="Verdana"/>
        <family val="2"/>
      </rPr>
      <t xml:space="preserve"> Packaging Materials, Business Travel, Freight Transport, and Off-site Waste.
</t>
    </r>
    <r>
      <rPr>
        <sz val="12"/>
        <color theme="1"/>
        <rFont val="Verdana"/>
        <family val="2"/>
      </rPr>
      <t xml:space="preserve">
Scope 1 and 2 reporti</t>
    </r>
    <r>
      <rPr>
        <sz val="12"/>
        <rFont val="Verdana"/>
        <family val="2"/>
      </rPr>
      <t xml:space="preserve">ng is </t>
    </r>
    <r>
      <rPr>
        <b/>
        <sz val="12"/>
        <color rgb="FFFF0000"/>
        <rFont val="Verdana"/>
        <family val="2"/>
      </rPr>
      <t>REQUIRED</t>
    </r>
    <r>
      <rPr>
        <sz val="12"/>
        <rFont val="Verdana"/>
        <family val="2"/>
      </rPr>
      <t xml:space="preserve"> t</t>
    </r>
    <r>
      <rPr>
        <sz val="12"/>
        <color theme="1"/>
        <rFont val="Verdana"/>
        <family val="2"/>
      </rPr>
      <t xml:space="preserve">o complete the workbook if applicable to your organization. Scope 3 is </t>
    </r>
    <r>
      <rPr>
        <b/>
        <i/>
        <sz val="12"/>
        <rFont val="Verdana"/>
        <family val="2"/>
      </rPr>
      <t>optional, but highly encouraged</t>
    </r>
    <r>
      <rPr>
        <sz val="12"/>
        <color theme="1"/>
        <rFont val="Verdana"/>
        <family val="2"/>
      </rPr>
      <t xml:space="preserve"> to get a better understanding of the emissions associated with your activities. Emissions from carbon dioxide, methane, nitrous oxide, and refrigerants </t>
    </r>
    <r>
      <rPr>
        <b/>
        <sz val="12"/>
        <color theme="1"/>
        <rFont val="Verdana"/>
        <family val="2"/>
      </rPr>
      <t>are calculated in metric tons of carbon dioxide equivalent, MT CO₂e.</t>
    </r>
  </si>
  <si>
    <t>*SOURCE: Glass Packaging Institute (GPI) Environmental Overview Complete Life Cycle Assessment of North American Container Glass</t>
  </si>
  <si>
    <t>Saxco Burgundy Cepage Carree 750ml</t>
  </si>
  <si>
    <t>Fill out all turquoise cells that apply to you.</t>
  </si>
  <si>
    <t xml:space="preserve">Offsets Purchased as Therm Equivalents </t>
  </si>
  <si>
    <t>Offsets Purchased as percent of bill</t>
  </si>
  <si>
    <r>
      <t xml:space="preserve">Enter freight transport data in the table below. Select the appropriate trip unit and transport mode from the drop-down list. 
For trip units:
• Use </t>
    </r>
    <r>
      <rPr>
        <i/>
        <sz val="10"/>
        <color rgb="FFFF0000"/>
        <rFont val="Verdana"/>
        <family val="2"/>
      </rPr>
      <t>vehicle-miles</t>
    </r>
    <r>
      <rPr>
        <i/>
        <sz val="10"/>
        <rFont val="Verdana"/>
        <family val="2"/>
      </rPr>
      <t xml:space="preserve"> when the entire vehicle is dedicated to transporting your product. When using vehicle-miles, do not enter product weight.
• Use </t>
    </r>
    <r>
      <rPr>
        <i/>
        <sz val="10"/>
        <color rgb="FFFF0000"/>
        <rFont val="Verdana"/>
        <family val="2"/>
      </rPr>
      <t>ton-miles</t>
    </r>
    <r>
      <rPr>
        <i/>
        <sz val="10"/>
        <rFont val="Verdana"/>
        <family val="2"/>
      </rPr>
      <t xml:space="preserve"> when the vehicle is shared with products from other companies. Ton-miles calculate only your portion of the trip. To calculate ton-miles, simply multiply the distance by number of tons, e.g. 2 tons at 100 miles = 200 ton-miles. </t>
    </r>
    <r>
      <rPr>
        <b/>
        <i/>
        <sz val="10"/>
        <rFont val="Verdana"/>
        <family val="2"/>
      </rPr>
      <t>Ton-miles are not compatible with passenger vehicles.</t>
    </r>
  </si>
  <si>
    <t>While recyclables are not part of your GHG Inventory, you are creating a benefit downstream from you. Enter the weight of your recycled materials to see the benefit compared to landfilled materials.</t>
  </si>
  <si>
    <t>Enter data if applicable (if outlined. Calculation tabs only)</t>
  </si>
  <si>
    <t>Optional to enter data (if outlined. Calculation tabs only)</t>
  </si>
  <si>
    <t>lbs</t>
  </si>
  <si>
    <t>lbs. per container</t>
  </si>
  <si>
    <t>kg CO2e / 1 kg of dry yard waste feedstock</t>
  </si>
  <si>
    <t>Note: Biochar varies by source and feedstock. This figure is a mid-range option, consistent with expectations for biochar produced in the PNW.</t>
  </si>
  <si>
    <t>Source: Climate Action Reserve "Evaluation of the Opportunities for Generating Carbon Offsets from Soil Sequestration of Biochar", tables 3 and 7.</t>
  </si>
  <si>
    <t>https://www.google.com/url?sa=t&amp;rct=j&amp;q=&amp;esrc=s&amp;source=web&amp;cd=&amp;cad=rja&amp;uact=8&amp;ved=2ahUKEwiShenhwfXpAhWaGDQIHcATCh8QFjAAegQIBhAB&amp;url=https%3A%2F%2Fwww.climateactionreserve.org%2Fwp-content%2Fuploads%2F2009%2F03%2FSoil_Sequestration_Biochar_Issue_Paper1.pdf&amp;usg=AOvVaw2H1dFbYyb_qYqOoI52zD16</t>
  </si>
  <si>
    <t>Password for all sheets: LIVE</t>
  </si>
  <si>
    <t>Emissions Factors sheet is hidden; must manually unhide.</t>
  </si>
  <si>
    <t>Password: LIVE</t>
  </si>
  <si>
    <t>Need more space? Click on the plus sign to the left! (Password: LIVE)</t>
  </si>
  <si>
    <t>Need more rows? Click the plus sign to the left. (Password: LIVE)</t>
  </si>
  <si>
    <t>For the purposes of this worksheet, list your data from your bill under the month in which the billing period ends – e.g. the bill with a billing period ending in January is your January bill, even though you may have received it in a later month.</t>
  </si>
  <si>
    <r>
      <t xml:space="preserve">While fertilizers and pesticides come in a wide variety of types with multiple components, please focus </t>
    </r>
    <r>
      <rPr>
        <b/>
        <sz val="10"/>
        <color theme="1"/>
        <rFont val="Verdana"/>
        <family val="2"/>
      </rPr>
      <t>only on the Nitrogen component of fertilizers</t>
    </r>
    <r>
      <rPr>
        <sz val="10"/>
        <color theme="1"/>
        <rFont val="Verdana"/>
        <family val="2"/>
      </rPr>
      <t>. 
For these types of products, while natural and organic products may be better environmentally, natural products are not inherently lower in greenhouse gas emissions even though other environmental benefits may be significant.
If you use varying amounts of product per application, you can calculate a total for the year and enter the amount as 1 acre, number of pounds or ounces for the year, and 1 time per year.</t>
    </r>
  </si>
  <si>
    <t>(must use drop-down)</t>
  </si>
  <si>
    <t>Type of Refrigerant Used</t>
  </si>
  <si>
    <t>MT CO2e / case</t>
  </si>
  <si>
    <t>MT CO2e / short ton</t>
  </si>
  <si>
    <t>Aluminum Cans Emissions Calculation</t>
  </si>
  <si>
    <t>cases</t>
  </si>
  <si>
    <t>cans</t>
  </si>
  <si>
    <t>Cases of cans, 375mL</t>
  </si>
  <si>
    <t>Approximate number of cans</t>
  </si>
  <si>
    <t>https://www.epa.gov/sites/default/files/2020-12/documents/warm_management_practices_v15_10-29-2020.pdf</t>
  </si>
  <si>
    <t>MT CO2e / can</t>
  </si>
  <si>
    <t>https://www.reference.com/science/much-one-aluminum-can-weigh-d0d9df9d68659219</t>
  </si>
  <si>
    <t>375 mL cans (assuming 14.9g cans)</t>
  </si>
  <si>
    <t>*Source 1: US EPA, WARM module</t>
  </si>
  <si>
    <t xml:space="preserve">**Source 2: </t>
  </si>
  <si>
    <t>One case equals 9 Liters of wine. Assumes 24 cans.</t>
  </si>
  <si>
    <t>Aluminum emissions factor MT CO2e/case</t>
  </si>
  <si>
    <t>Other Material Emissions Calculation</t>
  </si>
  <si>
    <t>Material description</t>
  </si>
  <si>
    <t>Enter name</t>
  </si>
  <si>
    <r>
      <t>MT CO</t>
    </r>
    <r>
      <rPr>
        <i/>
        <vertAlign val="subscript"/>
        <sz val="10"/>
        <color theme="1"/>
        <rFont val="Verdana"/>
        <family val="2"/>
      </rPr>
      <t>2</t>
    </r>
    <r>
      <rPr>
        <i/>
        <sz val="10"/>
        <color theme="1"/>
        <rFont val="Verdana"/>
        <family val="2"/>
      </rPr>
      <t>e / unit</t>
    </r>
  </si>
  <si>
    <t>Number of units</t>
  </si>
  <si>
    <r>
      <t>Have a different material you would like to include? Enter that here. Make sure the unit emissions factor and number of units match. Example: emissions (in MT CO</t>
    </r>
    <r>
      <rPr>
        <i/>
        <vertAlign val="subscript"/>
        <sz val="10"/>
        <color theme="1"/>
        <rFont val="Verdana"/>
        <family val="2"/>
      </rPr>
      <t>2</t>
    </r>
    <r>
      <rPr>
        <i/>
        <sz val="10"/>
        <color theme="1"/>
        <rFont val="Verdana"/>
        <family val="2"/>
      </rPr>
      <t>e) per carton and number of cartons.</t>
    </r>
  </si>
  <si>
    <r>
      <rPr>
        <b/>
        <sz val="10"/>
        <rFont val="Verdana"/>
        <family val="2"/>
      </rPr>
      <t>Packaging Materials is an optional category for your GHG inventory.</t>
    </r>
    <r>
      <rPr>
        <sz val="10"/>
        <rFont val="Verdana"/>
        <family val="2"/>
      </rPr>
      <t xml:space="preserve"> Various packaging materials have many benefits, but </t>
    </r>
    <r>
      <rPr>
        <b/>
        <sz val="10"/>
        <rFont val="Verdana"/>
        <family val="2"/>
      </rPr>
      <t>glass production and transportation are carbon-intensive processes</t>
    </r>
    <r>
      <rPr>
        <sz val="10"/>
        <rFont val="Verdana"/>
        <family val="2"/>
      </rPr>
      <t xml:space="preserve">. The packaging component should be included for all wineries if possible unless you are not responsible for the bottling process. Account for all materials </t>
    </r>
    <r>
      <rPr>
        <b/>
        <sz val="10"/>
        <rFont val="Verdana"/>
        <family val="2"/>
      </rPr>
      <t>purchased</t>
    </r>
    <r>
      <rPr>
        <sz val="10"/>
        <rFont val="Verdana"/>
        <family val="2"/>
      </rPr>
      <t xml:space="preserve"> in the calendar year regardless of use.
Emissions are approximate, and for production actual amounts will vary based on specific furnace energy sources, equipment efficiency, exact shipping distance/method, additives, etc. </t>
    </r>
    <r>
      <rPr>
        <b/>
        <sz val="10"/>
        <rFont val="Verdana"/>
        <family val="2"/>
      </rPr>
      <t>Cans, plastics, and other containers are less carbon intensive than glass; not all packaging options are included in this calculator.</t>
    </r>
    <r>
      <rPr>
        <sz val="10"/>
        <rFont val="Verdana"/>
        <family val="2"/>
      </rPr>
      <t xml:space="preserve">
For glass, </t>
    </r>
    <r>
      <rPr>
        <b/>
        <sz val="10"/>
        <rFont val="Verdana"/>
        <family val="2"/>
      </rPr>
      <t>use the table below</t>
    </r>
    <r>
      <rPr>
        <sz val="10"/>
        <rFont val="Verdana"/>
        <family val="2"/>
      </rPr>
      <t xml:space="preserve"> to estimate recycled content for column F. Glass typically contains a minimum of 5% recycled content. Enter product origin in Column G to determine approximate shipping distance from supplier to the Pacific Northwest. 
Note: shipping of products to consumer is not included in this tab - use the freight transport tab.</t>
    </r>
  </si>
  <si>
    <t>Biogenic combustion*</t>
  </si>
  <si>
    <t>Fermentation emissions</t>
  </si>
  <si>
    <t>Vinification (Wine Fermentation)</t>
  </si>
  <si>
    <t>Other Sequestration:</t>
  </si>
  <si>
    <t>E.g. Third-party vendors</t>
  </si>
  <si>
    <t>Vinification/wine fermentation*</t>
  </si>
  <si>
    <r>
      <t>E.g. Permanently captured CO</t>
    </r>
    <r>
      <rPr>
        <vertAlign val="subscript"/>
        <sz val="11"/>
        <color theme="1"/>
        <rFont val="Verdana"/>
        <family val="2"/>
      </rPr>
      <t>2</t>
    </r>
    <r>
      <rPr>
        <sz val="11"/>
        <color theme="1"/>
        <rFont val="Verdana"/>
        <family val="2"/>
      </rPr>
      <t xml:space="preserve"> from fermentation</t>
    </r>
  </si>
  <si>
    <t>https://ucanr.edu/repository/fileaccess.cfm?article=160250&amp;p=RAWITW</t>
  </si>
  <si>
    <t>https://www.winespectator.com/articles/how-many-bottles-of-wine-are-made-from-1-acre-of-vineyard-5350</t>
  </si>
  <si>
    <t>short ton CO2e / 750 mL</t>
  </si>
  <si>
    <t>**Source: Wine Spectator</t>
  </si>
  <si>
    <t>* for CO2 emissions per ton of fruit, ** for number of bottles per ton of fruit</t>
  </si>
  <si>
    <t>Must enter data in General tab</t>
  </si>
  <si>
    <t>Must enter cases of wine in General tab. Part of the natural carbon cycle</t>
  </si>
  <si>
    <t>Includes sequestration, credits, and offsets</t>
  </si>
  <si>
    <t>*Emissions from biomass and organic material such as decomposing vegetation, fermentation, or combustion of ethanol or biodiesel. Not included in total emissions.</t>
  </si>
  <si>
    <t>Please give some context. What should LIVE know about this year?</t>
  </si>
  <si>
    <t xml:space="preserve">Your Winery/Vineyard </t>
  </si>
  <si>
    <t>*Source: University of California Davis, Agriculture and Natural Resources, Presentation by Roger Boulton, Page 8, slide "Wine Fermentation Estimates"</t>
  </si>
  <si>
    <t>Updated in 2022 by Good Company</t>
  </si>
  <si>
    <r>
      <t>Aluminum</t>
    </r>
    <r>
      <rPr>
        <sz val="10"/>
        <color theme="1"/>
        <rFont val="Verdana"/>
        <family val="2"/>
      </rPr>
      <t xml:space="preserve"> (average recycled content)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</si>
</sst>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0.0000"/>
    <numFmt numFmtId="165" formatCode="#,##0.000"/>
    <numFmt numFmtId="166" formatCode="#,##0.0000"/>
    <numFmt numFmtId="167" formatCode="#,##0.00000"/>
    <numFmt numFmtId="168" formatCode="0.000000"/>
    <numFmt numFmtId="169" formatCode="#,##0.0"/>
    <numFmt numFmtId="170" formatCode="0.00000"/>
    <numFmt numFmtId="171" formatCode="#,##0.000000"/>
    <numFmt numFmtId="172" formatCode="_(* #,##0_);_(* \(#,##0\);_(* &quot;-&quot;??_);_(@_)"/>
    <numFmt numFmtId="173" formatCode="0.0"/>
    <numFmt numFmtId="174" formatCode="_(* #,##0.000000_);_(* \(#,##0.000000\);_(* &quot;-&quot;??_);_(@_)"/>
    <numFmt numFmtId="175" formatCode="0.000000E+00"/>
    <numFmt numFmtId="176" formatCode="_(* #,##0.00000_);_(* \(#,##0.00000\);_(* &quot;-&quot;??_);_(@_)"/>
    <numFmt numFmtId="177" formatCode="_(* #,##0.0000_);_(* \(#,##0.0000\);_(* &quot;-&quot;??_);_(@_)"/>
    <numFmt numFmtId="178" formatCode="_(* #,##0.000_);_(* \(#,##0.000\);_(* &quot;-&quot;??_);_(@_)"/>
    <numFmt numFmtId="179" formatCode="_(* #,##0.0_);_(* \(#,##0.0\);_(* &quot;-&quot;??_);_(@_)"/>
  </numFmts>
  <fonts count="124" x14ac:knownFonts="1">
    <font>
      <sz val="11"/>
      <color theme="1"/>
      <name val="Calibri"/>
      <family val="2"/>
      <scheme val="minor"/>
    </font>
    <font>
      <sz val="11"/>
      <color indexed="8"/>
      <name val="Calibri"/>
      <family val="2"/>
    </font>
    <font>
      <sz val="10"/>
      <name val="Arial"/>
      <family val="2"/>
    </font>
    <font>
      <u/>
      <sz val="10"/>
      <color indexed="12"/>
      <name val="Arial"/>
      <family val="2"/>
    </font>
    <font>
      <sz val="11"/>
      <name val="Times New Roman"/>
      <family val="1"/>
    </font>
    <font>
      <u/>
      <sz val="11"/>
      <color indexed="12"/>
      <name val="Times New Roman"/>
      <family val="1"/>
    </font>
    <font>
      <sz val="11"/>
      <color rgb="FF006100"/>
      <name val="Times New Roman"/>
      <family val="2"/>
    </font>
    <font>
      <sz val="11"/>
      <color theme="1"/>
      <name val="Times New Roman"/>
      <family val="2"/>
    </font>
    <font>
      <sz val="48"/>
      <color theme="2" tint="-0.24994659260841701"/>
      <name val="Calibri"/>
      <family val="2"/>
      <scheme val="minor"/>
    </font>
    <font>
      <b/>
      <sz val="14"/>
      <color theme="2" tint="-0.24994659260841701"/>
      <name val="Calibri"/>
      <family val="2"/>
      <scheme val="minor"/>
    </font>
    <font>
      <sz val="8"/>
      <name val="Calibri"/>
      <family val="2"/>
      <scheme val="minor"/>
    </font>
    <font>
      <u/>
      <sz val="11"/>
      <color theme="11"/>
      <name val="Calibri"/>
      <family val="2"/>
      <scheme val="minor"/>
    </font>
    <font>
      <u/>
      <sz val="11"/>
      <color theme="10"/>
      <name val="Calibri"/>
      <family val="2"/>
      <scheme val="minor"/>
    </font>
    <font>
      <sz val="12"/>
      <color rgb="FF9C5700"/>
      <name val="Calibri"/>
      <family val="2"/>
      <scheme val="minor"/>
    </font>
    <font>
      <sz val="10"/>
      <color rgb="FF000000"/>
      <name val="Tahoma"/>
      <family val="2"/>
    </font>
    <font>
      <b/>
      <sz val="10"/>
      <color rgb="FF000000"/>
      <name val="Tahoma"/>
      <family val="2"/>
    </font>
    <font>
      <sz val="11"/>
      <color theme="1"/>
      <name val="Calibri"/>
      <family val="2"/>
      <scheme val="minor"/>
    </font>
    <font>
      <sz val="11"/>
      <color theme="1"/>
      <name val="Verdana"/>
      <family val="2"/>
    </font>
    <font>
      <b/>
      <sz val="18"/>
      <color theme="4"/>
      <name val="Verdana"/>
      <family val="2"/>
    </font>
    <font>
      <b/>
      <sz val="11"/>
      <color theme="1"/>
      <name val="Verdana"/>
      <family val="2"/>
    </font>
    <font>
      <i/>
      <sz val="10"/>
      <color theme="1"/>
      <name val="Verdana"/>
      <family val="2"/>
    </font>
    <font>
      <sz val="11"/>
      <name val="Verdana"/>
      <family val="2"/>
    </font>
    <font>
      <i/>
      <sz val="10"/>
      <name val="Verdana"/>
      <family val="2"/>
    </font>
    <font>
      <sz val="10.5"/>
      <color rgb="FFFF0000"/>
      <name val="Verdana"/>
      <family val="2"/>
    </font>
    <font>
      <sz val="10.5"/>
      <name val="Verdana"/>
      <family val="2"/>
    </font>
    <font>
      <b/>
      <sz val="14"/>
      <color theme="4"/>
      <name val="Verdana"/>
      <family val="2"/>
    </font>
    <font>
      <sz val="14"/>
      <color theme="1"/>
      <name val="Verdana"/>
      <family val="2"/>
    </font>
    <font>
      <vertAlign val="subscript"/>
      <sz val="14"/>
      <color theme="1"/>
      <name val="Verdana"/>
      <family val="2"/>
    </font>
    <font>
      <sz val="14"/>
      <color rgb="FFFF0000"/>
      <name val="Verdana"/>
      <family val="2"/>
    </font>
    <font>
      <b/>
      <sz val="14"/>
      <name val="Verdana"/>
      <family val="2"/>
    </font>
    <font>
      <b/>
      <sz val="11"/>
      <name val="Verdana"/>
      <family val="2"/>
    </font>
    <font>
      <sz val="10"/>
      <color theme="1"/>
      <name val="Verdana"/>
      <family val="2"/>
    </font>
    <font>
      <i/>
      <sz val="11"/>
      <color theme="1"/>
      <name val="Verdana"/>
      <family val="2"/>
    </font>
    <font>
      <sz val="10"/>
      <name val="Verdana"/>
      <family val="2"/>
    </font>
    <font>
      <b/>
      <sz val="13"/>
      <name val="Verdana"/>
      <family val="2"/>
    </font>
    <font>
      <b/>
      <sz val="12"/>
      <color theme="1"/>
      <name val="Verdana"/>
      <family val="2"/>
    </font>
    <font>
      <sz val="10"/>
      <color rgb="FFFF0000"/>
      <name val="Verdana"/>
      <family val="2"/>
    </font>
    <font>
      <sz val="10"/>
      <color theme="1" tint="0.499984740745262"/>
      <name val="Verdana"/>
      <family val="2"/>
    </font>
    <font>
      <i/>
      <vertAlign val="subscript"/>
      <sz val="10"/>
      <color theme="1"/>
      <name val="Verdana"/>
      <family val="2"/>
    </font>
    <font>
      <u/>
      <sz val="11"/>
      <color theme="10"/>
      <name val="Verdana"/>
      <family val="2"/>
    </font>
    <font>
      <b/>
      <i/>
      <sz val="10"/>
      <color rgb="FF267482"/>
      <name val="Verdana"/>
      <family val="2"/>
    </font>
    <font>
      <i/>
      <sz val="10"/>
      <color rgb="FFFF0000"/>
      <name val="Verdana"/>
      <family val="2"/>
    </font>
    <font>
      <vertAlign val="subscript"/>
      <sz val="10"/>
      <color theme="1"/>
      <name val="Verdana"/>
      <family val="2"/>
    </font>
    <font>
      <sz val="9"/>
      <color rgb="FFFF0000"/>
      <name val="Verdana"/>
      <family val="2"/>
    </font>
    <font>
      <vertAlign val="superscript"/>
      <sz val="10"/>
      <color theme="1"/>
      <name val="Verdana"/>
      <family val="2"/>
    </font>
    <font>
      <sz val="10"/>
      <color theme="0" tint="-0.499984740745262"/>
      <name val="Verdana"/>
      <family val="2"/>
    </font>
    <font>
      <i/>
      <sz val="10"/>
      <color theme="1" tint="0.499984740745262"/>
      <name val="Verdana"/>
      <family val="2"/>
    </font>
    <font>
      <b/>
      <sz val="10"/>
      <color theme="1"/>
      <name val="Verdana"/>
      <family val="2"/>
    </font>
    <font>
      <b/>
      <i/>
      <sz val="10"/>
      <color rgb="FFFF0000"/>
      <name val="Verdana"/>
      <family val="2"/>
    </font>
    <font>
      <b/>
      <sz val="18"/>
      <color rgb="FF267482"/>
      <name val="Verdana"/>
      <family val="2"/>
    </font>
    <font>
      <sz val="9"/>
      <color theme="8" tint="-0.249977111117893"/>
      <name val="Verdana"/>
      <family val="2"/>
    </font>
    <font>
      <sz val="14"/>
      <color theme="5"/>
      <name val="Verdana"/>
      <family val="2"/>
    </font>
    <font>
      <u/>
      <sz val="14"/>
      <color theme="10"/>
      <name val="Verdana"/>
      <family val="2"/>
    </font>
    <font>
      <sz val="12"/>
      <color theme="1"/>
      <name val="Verdana"/>
      <family val="2"/>
    </font>
    <font>
      <b/>
      <sz val="18"/>
      <color theme="5"/>
      <name val="Verdana"/>
      <family val="2"/>
    </font>
    <font>
      <sz val="10.5"/>
      <color theme="1"/>
      <name val="Verdana"/>
      <family val="2"/>
    </font>
    <font>
      <b/>
      <sz val="14"/>
      <color theme="5"/>
      <name val="Verdana"/>
      <family val="2"/>
    </font>
    <font>
      <b/>
      <sz val="14"/>
      <color theme="0"/>
      <name val="Verdana"/>
      <family val="2"/>
    </font>
    <font>
      <i/>
      <vertAlign val="subscript"/>
      <sz val="10"/>
      <name val="Verdana"/>
      <family val="2"/>
    </font>
    <font>
      <sz val="9"/>
      <color theme="1"/>
      <name val="Verdana"/>
      <family val="2"/>
    </font>
    <font>
      <b/>
      <i/>
      <sz val="10"/>
      <color theme="1"/>
      <name val="Verdana"/>
      <family val="2"/>
    </font>
    <font>
      <b/>
      <i/>
      <sz val="10"/>
      <name val="Verdana"/>
      <family val="2"/>
    </font>
    <font>
      <b/>
      <sz val="18"/>
      <color theme="9"/>
      <name val="Verdana"/>
      <family val="2"/>
    </font>
    <font>
      <i/>
      <sz val="10.5"/>
      <color theme="1"/>
      <name val="Verdana"/>
      <family val="2"/>
    </font>
    <font>
      <b/>
      <i/>
      <sz val="10.5"/>
      <color theme="1"/>
      <name val="Verdana"/>
      <family val="2"/>
    </font>
    <font>
      <b/>
      <sz val="14"/>
      <color theme="9"/>
      <name val="Verdana"/>
      <family val="2"/>
    </font>
    <font>
      <sz val="10"/>
      <color indexed="8"/>
      <name val="Verdana"/>
      <family val="2"/>
    </font>
    <font>
      <b/>
      <sz val="10"/>
      <name val="Verdana"/>
      <family val="2"/>
    </font>
    <font>
      <sz val="14"/>
      <color theme="2" tint="-0.749992370372631"/>
      <name val="Verdana"/>
      <family val="2"/>
    </font>
    <font>
      <sz val="12"/>
      <color theme="2" tint="-0.749992370372631"/>
      <name val="Verdana"/>
      <family val="2"/>
    </font>
    <font>
      <b/>
      <sz val="14"/>
      <color theme="2" tint="-0.749992370372631"/>
      <name val="Verdana"/>
      <family val="2"/>
    </font>
    <font>
      <sz val="11"/>
      <color theme="2" tint="-0.749992370372631"/>
      <name val="Verdana"/>
      <family val="2"/>
    </font>
    <font>
      <sz val="12"/>
      <color theme="5"/>
      <name val="Verdana"/>
      <family val="2"/>
    </font>
    <font>
      <b/>
      <sz val="12"/>
      <color theme="5"/>
      <name val="Verdana"/>
      <family val="2"/>
    </font>
    <font>
      <vertAlign val="subscript"/>
      <sz val="12"/>
      <color theme="5"/>
      <name val="Verdana"/>
      <family val="2"/>
    </font>
    <font>
      <sz val="12"/>
      <color theme="9" tint="-0.249977111117893"/>
      <name val="Verdana"/>
      <family val="2"/>
    </font>
    <font>
      <b/>
      <sz val="12"/>
      <color theme="9" tint="-0.249977111117893"/>
      <name val="Verdana"/>
      <family val="2"/>
    </font>
    <font>
      <vertAlign val="subscript"/>
      <sz val="12"/>
      <color theme="9" tint="-0.249977111117893"/>
      <name val="Verdana"/>
      <family val="2"/>
    </font>
    <font>
      <sz val="12"/>
      <color theme="4"/>
      <name val="Verdana"/>
      <family val="2"/>
    </font>
    <font>
      <b/>
      <sz val="12"/>
      <color theme="4"/>
      <name val="Verdana"/>
      <family val="2"/>
    </font>
    <font>
      <vertAlign val="subscript"/>
      <sz val="12"/>
      <color theme="4"/>
      <name val="Verdana"/>
      <family val="2"/>
    </font>
    <font>
      <vertAlign val="subscript"/>
      <sz val="12"/>
      <color theme="1"/>
      <name val="Verdana"/>
      <family val="2"/>
    </font>
    <font>
      <b/>
      <sz val="12"/>
      <color theme="2" tint="-0.749992370372631"/>
      <name val="Verdana"/>
      <family val="2"/>
    </font>
    <font>
      <sz val="12"/>
      <name val="Verdana"/>
      <family val="2"/>
    </font>
    <font>
      <b/>
      <sz val="18"/>
      <name val="Verdana"/>
      <family val="2"/>
    </font>
    <font>
      <sz val="11"/>
      <color theme="0"/>
      <name val="Verdana"/>
      <family val="2"/>
    </font>
    <font>
      <i/>
      <sz val="10"/>
      <color theme="0"/>
      <name val="Verdana"/>
      <family val="2"/>
    </font>
    <font>
      <sz val="11"/>
      <color rgb="FFFF0000"/>
      <name val="Calibri"/>
      <family val="2"/>
      <scheme val="minor"/>
    </font>
    <font>
      <sz val="11"/>
      <color rgb="FFFF0000"/>
      <name val="Verdana"/>
      <family val="2"/>
    </font>
    <font>
      <b/>
      <sz val="14"/>
      <color rgb="FF70AD47"/>
      <name val="Verdana"/>
      <family val="2"/>
    </font>
    <font>
      <sz val="12"/>
      <color theme="9"/>
      <name val="Verdana"/>
      <family val="2"/>
    </font>
    <font>
      <i/>
      <sz val="12"/>
      <color theme="5"/>
      <name val="Verdana"/>
      <family val="2"/>
    </font>
    <font>
      <i/>
      <sz val="12"/>
      <color theme="9" tint="-0.249977111117893"/>
      <name val="Verdana"/>
      <family val="2"/>
    </font>
    <font>
      <i/>
      <sz val="12"/>
      <color theme="4"/>
      <name val="Verdana"/>
      <family val="2"/>
    </font>
    <font>
      <b/>
      <sz val="12"/>
      <color rgb="FFFF0000"/>
      <name val="Verdana"/>
      <family val="2"/>
    </font>
    <font>
      <b/>
      <i/>
      <sz val="12"/>
      <name val="Verdana"/>
      <family val="2"/>
    </font>
    <font>
      <b/>
      <i/>
      <sz val="12"/>
      <color theme="1"/>
      <name val="Verdana"/>
      <family val="2"/>
    </font>
    <font>
      <u/>
      <sz val="10"/>
      <color theme="10"/>
      <name val="Verdana"/>
      <family val="2"/>
    </font>
    <font>
      <sz val="10"/>
      <color rgb="FF9C5700"/>
      <name val="Verdana"/>
      <family val="2"/>
    </font>
    <font>
      <i/>
      <sz val="12"/>
      <color rgb="FF267482"/>
      <name val="Verdana"/>
      <family val="2"/>
    </font>
    <font>
      <sz val="11"/>
      <color theme="0" tint="-0.499984740745262"/>
      <name val="Verdana"/>
      <family val="2"/>
    </font>
    <font>
      <b/>
      <i/>
      <sz val="11"/>
      <color theme="1"/>
      <name val="Verdana"/>
      <family val="2"/>
    </font>
    <font>
      <b/>
      <i/>
      <sz val="14"/>
      <color theme="0"/>
      <name val="Verdana"/>
      <family val="2"/>
    </font>
    <font>
      <b/>
      <sz val="12"/>
      <name val="Verdana"/>
      <family val="2"/>
    </font>
    <font>
      <i/>
      <sz val="12"/>
      <name val="Verdana"/>
      <family val="2"/>
    </font>
    <font>
      <b/>
      <sz val="12"/>
      <color rgb="FFED7C31"/>
      <name val="Verdana"/>
      <family val="2"/>
    </font>
    <font>
      <i/>
      <sz val="12"/>
      <color rgb="FFFF0000"/>
      <name val="Verdana"/>
      <family val="2"/>
    </font>
    <font>
      <sz val="10"/>
      <color rgb="FFED7D31"/>
      <name val="Verdana"/>
      <family val="2"/>
    </font>
    <font>
      <b/>
      <i/>
      <sz val="10"/>
      <color rgb="FFED7D31"/>
      <name val="Verdana"/>
      <family val="2"/>
    </font>
    <font>
      <sz val="10"/>
      <color rgb="FF7030A0"/>
      <name val="Verdana"/>
      <family val="2"/>
    </font>
    <font>
      <i/>
      <sz val="12"/>
      <color rgb="FFED7D31"/>
      <name val="Verdana"/>
      <family val="2"/>
    </font>
    <font>
      <b/>
      <i/>
      <sz val="12"/>
      <color rgb="FFED7D31"/>
      <name val="Verdana"/>
      <family val="2"/>
    </font>
    <font>
      <b/>
      <sz val="12"/>
      <color rgb="FFED7D31"/>
      <name val="Verdana"/>
      <family val="2"/>
    </font>
    <font>
      <b/>
      <i/>
      <sz val="11"/>
      <color theme="4"/>
      <name val="Verdana"/>
      <family val="2"/>
    </font>
    <font>
      <b/>
      <i/>
      <sz val="12"/>
      <color theme="4"/>
      <name val="Verdana"/>
      <family val="2"/>
    </font>
    <font>
      <sz val="11"/>
      <color rgb="FF7030A0"/>
      <name val="Verdana"/>
      <family val="2"/>
    </font>
    <font>
      <i/>
      <sz val="11"/>
      <name val="Verdana"/>
      <family val="2"/>
    </font>
    <font>
      <i/>
      <sz val="11"/>
      <color rgb="FFFF0000"/>
      <name val="Verdana"/>
      <family val="2"/>
    </font>
    <font>
      <b/>
      <sz val="10"/>
      <color rgb="FFED7C31"/>
      <name val="Verdana"/>
      <family val="2"/>
    </font>
    <font>
      <b/>
      <sz val="13"/>
      <color rgb="FF267482"/>
      <name val="Verdana"/>
      <family val="2"/>
    </font>
    <font>
      <b/>
      <i/>
      <sz val="12"/>
      <color rgb="FF267482"/>
      <name val="Verdana"/>
      <family val="2"/>
    </font>
    <font>
      <i/>
      <sz val="9"/>
      <color theme="1"/>
      <name val="Verdana"/>
      <family val="2"/>
    </font>
    <font>
      <sz val="10"/>
      <color rgb="FF4472C4"/>
      <name val="Verdana"/>
      <family val="2"/>
    </font>
    <font>
      <vertAlign val="subscript"/>
      <sz val="11"/>
      <color theme="1"/>
      <name val="Verdana"/>
      <family val="2"/>
    </font>
  </fonts>
  <fills count="18">
    <fill>
      <patternFill patternType="none"/>
    </fill>
    <fill>
      <patternFill patternType="gray125"/>
    </fill>
    <fill>
      <patternFill patternType="solid">
        <fgColor rgb="FFC6EFCE"/>
      </patternFill>
    </fill>
    <fill>
      <patternFill patternType="solid">
        <fgColor rgb="FF0070C0"/>
        <bgColor indexed="64"/>
      </patternFill>
    </fill>
    <fill>
      <patternFill patternType="solid">
        <fgColor rgb="FFA80000"/>
        <bgColor indexed="64"/>
      </patternFill>
    </fill>
    <fill>
      <patternFill patternType="solid">
        <fgColor rgb="FF267482"/>
        <bgColor indexed="64"/>
      </patternFill>
    </fill>
    <fill>
      <patternFill patternType="solid">
        <fgColor theme="2"/>
        <bgColor indexed="64"/>
      </patternFill>
    </fill>
    <fill>
      <patternFill patternType="solid">
        <fgColor rgb="FFFFEB9C"/>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5"/>
        <bgColor indexed="64"/>
      </patternFill>
    </fill>
    <fill>
      <patternFill patternType="solid">
        <fgColor rgb="FFFFC000"/>
        <bgColor indexed="64"/>
      </patternFill>
    </fill>
    <fill>
      <patternFill patternType="solid">
        <fgColor theme="9"/>
        <bgColor indexed="64"/>
      </patternFill>
    </fill>
    <fill>
      <patternFill patternType="solid">
        <fgColor theme="4"/>
        <bgColor indexed="64"/>
      </patternFill>
    </fill>
    <fill>
      <patternFill patternType="solid">
        <fgColor rgb="FF4472C4"/>
        <bgColor indexed="64"/>
      </patternFill>
    </fill>
    <fill>
      <patternFill patternType="solid">
        <fgColor rgb="FFD3EBEA"/>
        <bgColor indexed="64"/>
      </patternFill>
    </fill>
  </fills>
  <borders count="29">
    <border>
      <left/>
      <right/>
      <top/>
      <bottom/>
      <diagonal/>
    </border>
    <border>
      <left style="thick">
        <color auto="1"/>
      </left>
      <right style="hair">
        <color auto="1"/>
      </right>
      <top style="thick">
        <color auto="1"/>
      </top>
      <bottom style="hair">
        <color auto="1"/>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rgb="FF267482"/>
      </bottom>
      <diagonal/>
    </border>
    <border>
      <left style="thin">
        <color rgb="FF267482"/>
      </left>
      <right style="thin">
        <color rgb="FF267482"/>
      </right>
      <top style="thin">
        <color rgb="FF267482"/>
      </top>
      <bottom style="thin">
        <color rgb="FF267482"/>
      </bottom>
      <diagonal/>
    </border>
    <border>
      <left/>
      <right/>
      <top style="thin">
        <color rgb="FF267482"/>
      </top>
      <bottom/>
      <diagonal/>
    </border>
    <border>
      <left style="thin">
        <color rgb="FF267482"/>
      </left>
      <right/>
      <top style="thin">
        <color rgb="FF267482"/>
      </top>
      <bottom style="thin">
        <color rgb="FF267482"/>
      </bottom>
      <diagonal/>
    </border>
    <border>
      <left/>
      <right style="thin">
        <color rgb="FF267482"/>
      </right>
      <top style="thin">
        <color rgb="FF267482"/>
      </top>
      <bottom style="thin">
        <color rgb="FF267482"/>
      </bottom>
      <diagonal/>
    </border>
    <border>
      <left style="thin">
        <color rgb="FF267482"/>
      </left>
      <right/>
      <top style="thin">
        <color rgb="FF267482"/>
      </top>
      <bottom/>
      <diagonal/>
    </border>
    <border>
      <left/>
      <right style="thin">
        <color rgb="FF267482"/>
      </right>
      <top style="thin">
        <color rgb="FF267482"/>
      </top>
      <bottom/>
      <diagonal/>
    </border>
    <border>
      <left style="thin">
        <color rgb="FF267482"/>
      </left>
      <right/>
      <top/>
      <bottom/>
      <diagonal/>
    </border>
    <border>
      <left/>
      <right style="thin">
        <color rgb="FF267482"/>
      </right>
      <top/>
      <bottom/>
      <diagonal/>
    </border>
    <border>
      <left style="thin">
        <color rgb="FF267482"/>
      </left>
      <right/>
      <top/>
      <bottom style="thin">
        <color rgb="FF267482"/>
      </bottom>
      <diagonal/>
    </border>
    <border>
      <left/>
      <right style="thin">
        <color rgb="FF267482"/>
      </right>
      <top/>
      <bottom style="thin">
        <color rgb="FF267482"/>
      </bottom>
      <diagonal/>
    </border>
    <border>
      <left/>
      <right/>
      <top style="thin">
        <color rgb="FF267482"/>
      </top>
      <bottom style="thin">
        <color rgb="FF267482"/>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11">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2" borderId="0" applyNumberFormat="0" applyBorder="0" applyAlignment="0" applyProtection="0"/>
    <xf numFmtId="0" fontId="3"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 fillId="0" borderId="0"/>
    <xf numFmtId="0" fontId="2" fillId="0" borderId="0"/>
    <xf numFmtId="0" fontId="7" fillId="0" borderId="0"/>
    <xf numFmtId="0" fontId="1"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3" borderId="1" applyBorder="0">
      <alignment horizontal="center" vertical="center"/>
    </xf>
    <xf numFmtId="0" fontId="9" fillId="4" borderId="0">
      <alignment horizontal="left" vertical="center"/>
    </xf>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3" fillId="7" borderId="0" applyNumberFormat="0" applyBorder="0" applyAlignment="0" applyProtection="0"/>
    <xf numFmtId="9" fontId="16" fillId="0" borderId="0" applyFont="0" applyFill="0" applyBorder="0" applyAlignment="0" applyProtection="0"/>
    <xf numFmtId="0" fontId="12" fillId="0" borderId="0" applyNumberFormat="0" applyFill="0" applyBorder="0" applyAlignment="0" applyProtection="0"/>
    <xf numFmtId="43" fontId="16"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587">
    <xf numFmtId="0" fontId="0" fillId="0" borderId="0" xfId="0"/>
    <xf numFmtId="0" fontId="18" fillId="10" borderId="0" xfId="0" applyFont="1" applyFill="1"/>
    <xf numFmtId="0" fontId="17" fillId="10" borderId="0" xfId="0" applyFont="1" applyFill="1"/>
    <xf numFmtId="0" fontId="19" fillId="10" borderId="0" xfId="0" applyFont="1" applyFill="1"/>
    <xf numFmtId="0" fontId="20" fillId="10" borderId="0" xfId="0" applyFont="1" applyFill="1" applyAlignment="1">
      <alignment horizontal="left"/>
    </xf>
    <xf numFmtId="0" fontId="24" fillId="10" borderId="0" xfId="0" applyFont="1" applyFill="1" applyAlignment="1">
      <alignment vertical="center" wrapText="1"/>
    </xf>
    <xf numFmtId="4" fontId="25" fillId="10" borderId="0" xfId="0" applyNumberFormat="1" applyFont="1" applyFill="1"/>
    <xf numFmtId="0" fontId="26" fillId="10" borderId="0" xfId="0" applyFont="1" applyFill="1"/>
    <xf numFmtId="0" fontId="28" fillId="10" borderId="0" xfId="0" applyFont="1" applyFill="1"/>
    <xf numFmtId="0" fontId="21" fillId="10" borderId="0" xfId="0" applyFont="1" applyFill="1" applyAlignment="1" applyProtection="1">
      <alignment horizontal="right" vertical="center" wrapText="1"/>
      <protection locked="0"/>
    </xf>
    <xf numFmtId="0" fontId="17" fillId="10" borderId="0" xfId="0" applyFont="1" applyFill="1" applyAlignment="1">
      <alignment horizontal="left"/>
    </xf>
    <xf numFmtId="0" fontId="22" fillId="10" borderId="0" xfId="0" applyFont="1" applyFill="1" applyAlignment="1">
      <alignment horizontal="center"/>
    </xf>
    <xf numFmtId="0" fontId="22" fillId="10" borderId="0" xfId="0" applyFont="1" applyFill="1" applyAlignment="1">
      <alignment horizontal="center" wrapText="1"/>
    </xf>
    <xf numFmtId="0" fontId="17" fillId="10" borderId="0" xfId="0" applyFont="1" applyFill="1" applyAlignment="1">
      <alignment wrapText="1"/>
    </xf>
    <xf numFmtId="0" fontId="32" fillId="10" borderId="0" xfId="0" applyFont="1" applyFill="1"/>
    <xf numFmtId="0" fontId="31" fillId="10" borderId="0" xfId="0" applyFont="1" applyFill="1" applyAlignment="1" applyProtection="1">
      <alignment horizontal="left"/>
      <protection locked="0"/>
    </xf>
    <xf numFmtId="0" fontId="33" fillId="6" borderId="0" xfId="0" applyFont="1" applyFill="1"/>
    <xf numFmtId="0" fontId="34" fillId="6" borderId="0" xfId="0" applyFont="1" applyFill="1"/>
    <xf numFmtId="0" fontId="22" fillId="6" borderId="0" xfId="0" applyFont="1" applyFill="1"/>
    <xf numFmtId="0" fontId="31" fillId="6" borderId="0" xfId="0" applyFont="1" applyFill="1"/>
    <xf numFmtId="0" fontId="35" fillId="6" borderId="0" xfId="0" applyFont="1" applyFill="1"/>
    <xf numFmtId="0" fontId="31" fillId="0" borderId="0" xfId="0" applyFont="1"/>
    <xf numFmtId="0" fontId="17" fillId="0" borderId="25" xfId="0" applyFont="1" applyBorder="1"/>
    <xf numFmtId="0" fontId="17" fillId="6" borderId="0" xfId="0" applyFont="1" applyFill="1" applyAlignment="1">
      <alignment horizontal="left"/>
    </xf>
    <xf numFmtId="0" fontId="17" fillId="8" borderId="25" xfId="0" applyFont="1" applyFill="1" applyBorder="1"/>
    <xf numFmtId="0" fontId="31" fillId="9" borderId="25" xfId="0" applyFont="1" applyFill="1" applyBorder="1"/>
    <xf numFmtId="0" fontId="31" fillId="6" borderId="25" xfId="0" applyFont="1" applyFill="1" applyBorder="1"/>
    <xf numFmtId="0" fontId="17" fillId="6" borderId="0" xfId="0" applyFont="1" applyFill="1"/>
    <xf numFmtId="0" fontId="31" fillId="11" borderId="25" xfId="0" applyFont="1" applyFill="1" applyBorder="1"/>
    <xf numFmtId="0" fontId="31" fillId="0" borderId="25" xfId="0" applyFont="1" applyBorder="1" applyAlignment="1">
      <alignment horizontal="center"/>
    </xf>
    <xf numFmtId="0" fontId="36" fillId="0" borderId="25" xfId="0" applyFont="1" applyBorder="1" applyAlignment="1">
      <alignment horizontal="center"/>
    </xf>
    <xf numFmtId="0" fontId="37" fillId="0" borderId="25" xfId="0" applyFont="1" applyBorder="1" applyAlignment="1">
      <alignment horizontal="center"/>
    </xf>
    <xf numFmtId="0" fontId="30" fillId="6" borderId="0" xfId="0" applyFont="1" applyFill="1"/>
    <xf numFmtId="0" fontId="37" fillId="0" borderId="0" xfId="0" applyFont="1" applyAlignment="1">
      <alignment horizontal="right"/>
    </xf>
    <xf numFmtId="0" fontId="22" fillId="6" borderId="0" xfId="0" applyFont="1" applyFill="1" applyAlignment="1">
      <alignment horizontal="right"/>
    </xf>
    <xf numFmtId="0" fontId="20" fillId="6" borderId="0" xfId="0" applyFont="1" applyFill="1"/>
    <xf numFmtId="14" fontId="37" fillId="0" borderId="0" xfId="0" applyNumberFormat="1" applyFont="1" applyAlignment="1">
      <alignment horizontal="right"/>
    </xf>
    <xf numFmtId="0" fontId="19" fillId="6" borderId="0" xfId="0" applyFont="1" applyFill="1"/>
    <xf numFmtId="168" fontId="31" fillId="0" borderId="0" xfId="0" applyNumberFormat="1" applyFont="1"/>
    <xf numFmtId="0" fontId="31" fillId="13" borderId="0" xfId="0" applyFont="1" applyFill="1"/>
    <xf numFmtId="0" fontId="31" fillId="6" borderId="0" xfId="0" applyFont="1" applyFill="1" applyAlignment="1">
      <alignment horizontal="left" wrapText="1"/>
    </xf>
    <xf numFmtId="0" fontId="20" fillId="6" borderId="0" xfId="0" applyFont="1" applyFill="1" applyAlignment="1">
      <alignment horizontal="left" wrapText="1"/>
    </xf>
    <xf numFmtId="0" fontId="20" fillId="6" borderId="21" xfId="0" applyFont="1" applyFill="1" applyBorder="1" applyAlignment="1">
      <alignment horizontal="left" wrapText="1"/>
    </xf>
    <xf numFmtId="0" fontId="20" fillId="6" borderId="22" xfId="0" applyFont="1" applyFill="1" applyBorder="1" applyAlignment="1">
      <alignment horizontal="left" wrapText="1"/>
    </xf>
    <xf numFmtId="0" fontId="31" fillId="0" borderId="0" xfId="0" applyFont="1" applyAlignment="1">
      <alignment horizontal="left" wrapText="1"/>
    </xf>
    <xf numFmtId="0" fontId="31" fillId="6" borderId="0" xfId="0" applyFont="1" applyFill="1" applyAlignment="1">
      <alignment horizontal="right"/>
    </xf>
    <xf numFmtId="0" fontId="31" fillId="6" borderId="0" xfId="0" applyFont="1" applyFill="1" applyAlignment="1">
      <alignment horizontal="left" indent="1"/>
    </xf>
    <xf numFmtId="0" fontId="33" fillId="6" borderId="0" xfId="0" applyFont="1" applyFill="1" applyAlignment="1">
      <alignment horizontal="left"/>
    </xf>
    <xf numFmtId="164" fontId="36" fillId="0" borderId="19" xfId="0" applyNumberFormat="1" applyFont="1" applyBorder="1"/>
    <xf numFmtId="164" fontId="31" fillId="0" borderId="18" xfId="0" applyNumberFormat="1" applyFont="1" applyBorder="1"/>
    <xf numFmtId="164" fontId="36" fillId="0" borderId="18" xfId="0" applyNumberFormat="1" applyFont="1" applyBorder="1"/>
    <xf numFmtId="164" fontId="36" fillId="0" borderId="20" xfId="0" applyNumberFormat="1" applyFont="1" applyBorder="1"/>
    <xf numFmtId="164" fontId="36" fillId="0" borderId="21" xfId="0" applyNumberFormat="1" applyFont="1" applyBorder="1"/>
    <xf numFmtId="164" fontId="36" fillId="0" borderId="0" xfId="0" applyNumberFormat="1" applyFont="1"/>
    <xf numFmtId="164" fontId="36" fillId="0" borderId="22" xfId="0" applyNumberFormat="1" applyFont="1" applyBorder="1"/>
    <xf numFmtId="164" fontId="31" fillId="0" borderId="21" xfId="0" applyNumberFormat="1" applyFont="1" applyBorder="1"/>
    <xf numFmtId="164" fontId="31" fillId="0" borderId="22" xfId="0" applyNumberFormat="1" applyFont="1" applyBorder="1"/>
    <xf numFmtId="164" fontId="31" fillId="0" borderId="0" xfId="0" applyNumberFormat="1" applyFont="1"/>
    <xf numFmtId="164" fontId="36" fillId="0" borderId="23" xfId="0" applyNumberFormat="1" applyFont="1" applyBorder="1"/>
    <xf numFmtId="0" fontId="31" fillId="0" borderId="17" xfId="0" applyFont="1" applyBorder="1"/>
    <xf numFmtId="164" fontId="36" fillId="0" borderId="17" xfId="0" applyNumberFormat="1" applyFont="1" applyBorder="1"/>
    <xf numFmtId="164" fontId="36" fillId="0" borderId="24" xfId="0" applyNumberFormat="1" applyFont="1" applyBorder="1"/>
    <xf numFmtId="164" fontId="33" fillId="0" borderId="26" xfId="0" applyNumberFormat="1" applyFont="1" applyBorder="1"/>
    <xf numFmtId="164" fontId="33" fillId="0" borderId="27" xfId="0" applyNumberFormat="1" applyFont="1" applyBorder="1"/>
    <xf numFmtId="1" fontId="33" fillId="0" borderId="26" xfId="0" applyNumberFormat="1" applyFont="1" applyBorder="1"/>
    <xf numFmtId="1" fontId="33" fillId="0" borderId="27" xfId="0" applyNumberFormat="1" applyFont="1" applyBorder="1"/>
    <xf numFmtId="1" fontId="33" fillId="0" borderId="28" xfId="0" applyNumberFormat="1" applyFont="1" applyBorder="1"/>
    <xf numFmtId="0" fontId="20" fillId="11" borderId="0" xfId="0" applyFont="1" applyFill="1"/>
    <xf numFmtId="0" fontId="31" fillId="11" borderId="0" xfId="0" applyFont="1" applyFill="1"/>
    <xf numFmtId="0" fontId="39" fillId="13" borderId="0" xfId="107" applyFont="1" applyFill="1" applyBorder="1"/>
    <xf numFmtId="0" fontId="40" fillId="6" borderId="0" xfId="0" applyFont="1" applyFill="1"/>
    <xf numFmtId="164" fontId="31" fillId="6" borderId="0" xfId="0" applyNumberFormat="1" applyFont="1" applyFill="1"/>
    <xf numFmtId="0" fontId="41" fillId="6" borderId="0" xfId="0" applyFont="1" applyFill="1"/>
    <xf numFmtId="0" fontId="20" fillId="6" borderId="0" xfId="0" applyFont="1" applyFill="1" applyAlignment="1">
      <alignment wrapText="1"/>
    </xf>
    <xf numFmtId="0" fontId="36" fillId="0" borderId="0" xfId="0" applyFont="1"/>
    <xf numFmtId="168" fontId="37" fillId="8" borderId="0" xfId="0" applyNumberFormat="1" applyFont="1" applyFill="1"/>
    <xf numFmtId="0" fontId="20" fillId="13" borderId="0" xfId="0" applyFont="1" applyFill="1"/>
    <xf numFmtId="164" fontId="31" fillId="11" borderId="0" xfId="0" applyNumberFormat="1" applyFont="1" applyFill="1"/>
    <xf numFmtId="0" fontId="17" fillId="11" borderId="0" xfId="0" applyFont="1" applyFill="1"/>
    <xf numFmtId="0" fontId="39" fillId="11" borderId="0" xfId="107" applyFont="1" applyFill="1" applyBorder="1"/>
    <xf numFmtId="0" fontId="36" fillId="6" borderId="0" xfId="0" applyFont="1" applyFill="1"/>
    <xf numFmtId="0" fontId="33" fillId="0" borderId="0" xfId="0" applyFont="1"/>
    <xf numFmtId="3" fontId="31" fillId="6" borderId="0" xfId="0" applyNumberFormat="1" applyFont="1" applyFill="1"/>
    <xf numFmtId="0" fontId="36" fillId="0" borderId="0" xfId="0" applyFont="1" applyAlignment="1">
      <alignment horizontal="right"/>
    </xf>
    <xf numFmtId="0" fontId="31" fillId="6" borderId="0" xfId="0" applyFont="1" applyFill="1" applyAlignment="1">
      <alignment horizontal="left"/>
    </xf>
    <xf numFmtId="0" fontId="20" fillId="0" borderId="0" xfId="0" applyFont="1"/>
    <xf numFmtId="0" fontId="39" fillId="13" borderId="0" xfId="107" applyFont="1" applyFill="1" applyBorder="1" applyAlignment="1"/>
    <xf numFmtId="0" fontId="39" fillId="11" borderId="0" xfId="107" applyFont="1" applyFill="1" applyBorder="1" applyAlignment="1"/>
    <xf numFmtId="0" fontId="31" fillId="6" borderId="0" xfId="0" applyFont="1" applyFill="1" applyAlignment="1">
      <alignment horizontal="right" wrapText="1"/>
    </xf>
    <xf numFmtId="0" fontId="31" fillId="0" borderId="0" xfId="0" applyFont="1" applyAlignment="1">
      <alignment horizontal="left"/>
    </xf>
    <xf numFmtId="164" fontId="37" fillId="0" borderId="0" xfId="0" applyNumberFormat="1" applyFont="1"/>
    <xf numFmtId="0" fontId="39" fillId="13" borderId="0" xfId="107" applyFont="1" applyFill="1" applyBorder="1" applyAlignment="1">
      <alignment horizontal="left"/>
    </xf>
    <xf numFmtId="0" fontId="20" fillId="11" borderId="0" xfId="0" applyFont="1" applyFill="1" applyAlignment="1">
      <alignment horizontal="left" wrapText="1"/>
    </xf>
    <xf numFmtId="2" fontId="36" fillId="0" borderId="0" xfId="0" applyNumberFormat="1" applyFont="1"/>
    <xf numFmtId="0" fontId="32" fillId="6" borderId="0" xfId="0" applyFont="1" applyFill="1"/>
    <xf numFmtId="0" fontId="31" fillId="6" borderId="0" xfId="0" applyFont="1" applyFill="1" applyAlignment="1">
      <alignment wrapText="1"/>
    </xf>
    <xf numFmtId="9" fontId="36" fillId="0" borderId="0" xfId="106" applyFont="1" applyFill="1" applyBorder="1" applyAlignment="1">
      <alignment wrapText="1"/>
    </xf>
    <xf numFmtId="168" fontId="45" fillId="0" borderId="0" xfId="106" applyNumberFormat="1" applyFont="1" applyFill="1" applyBorder="1" applyAlignment="1">
      <alignment wrapText="1"/>
    </xf>
    <xf numFmtId="0" fontId="39" fillId="13" borderId="0" xfId="107" applyFont="1" applyFill="1"/>
    <xf numFmtId="0" fontId="39" fillId="6" borderId="0" xfId="107" applyFont="1" applyFill="1" applyBorder="1"/>
    <xf numFmtId="1" fontId="36" fillId="0" borderId="0" xfId="0" applyNumberFormat="1" applyFont="1"/>
    <xf numFmtId="9" fontId="17" fillId="0" borderId="0" xfId="106" applyFont="1" applyFill="1"/>
    <xf numFmtId="1" fontId="45" fillId="0" borderId="0" xfId="0" applyNumberFormat="1" applyFont="1"/>
    <xf numFmtId="1" fontId="46" fillId="0" borderId="0" xfId="0" applyNumberFormat="1" applyFont="1" applyAlignment="1">
      <alignment wrapText="1"/>
    </xf>
    <xf numFmtId="0" fontId="20" fillId="13" borderId="0" xfId="0" applyFont="1" applyFill="1" applyAlignment="1">
      <alignment wrapText="1"/>
    </xf>
    <xf numFmtId="0" fontId="47" fillId="6" borderId="0" xfId="0" applyFont="1" applyFill="1"/>
    <xf numFmtId="168" fontId="45" fillId="0" borderId="0" xfId="0" applyNumberFormat="1" applyFont="1"/>
    <xf numFmtId="0" fontId="17" fillId="0" borderId="0" xfId="0" applyFont="1"/>
    <xf numFmtId="0" fontId="31" fillId="6" borderId="0" xfId="0" applyFont="1" applyFill="1" applyAlignment="1">
      <alignment horizontal="center" vertical="center" wrapText="1"/>
    </xf>
    <xf numFmtId="0" fontId="20" fillId="6" borderId="0" xfId="0" applyFont="1" applyFill="1" applyAlignment="1">
      <alignment horizontal="center" vertical="center" wrapText="1"/>
    </xf>
    <xf numFmtId="2" fontId="37" fillId="0" borderId="0" xfId="0" applyNumberFormat="1" applyFont="1"/>
    <xf numFmtId="2" fontId="45" fillId="0" borderId="0" xfId="0" applyNumberFormat="1" applyFont="1"/>
    <xf numFmtId="164" fontId="45" fillId="0" borderId="0" xfId="0" applyNumberFormat="1" applyFont="1"/>
    <xf numFmtId="0" fontId="20" fillId="6" borderId="0" xfId="0" applyFont="1" applyFill="1" applyAlignment="1">
      <alignment horizontal="left"/>
    </xf>
    <xf numFmtId="0" fontId="49" fillId="10" borderId="0" xfId="0" applyFont="1" applyFill="1"/>
    <xf numFmtId="0" fontId="50" fillId="10" borderId="0" xfId="0" applyFont="1" applyFill="1" applyAlignment="1">
      <alignment horizontal="right" vertical="center"/>
    </xf>
    <xf numFmtId="0" fontId="49" fillId="10" borderId="0" xfId="0" applyFont="1" applyFill="1" applyAlignment="1">
      <alignment wrapText="1"/>
    </xf>
    <xf numFmtId="0" fontId="26" fillId="10" borderId="0" xfId="0" applyFont="1" applyFill="1" applyAlignment="1">
      <alignment horizontal="left"/>
    </xf>
    <xf numFmtId="0" fontId="35" fillId="10" borderId="0" xfId="0" applyFont="1" applyFill="1"/>
    <xf numFmtId="0" fontId="53" fillId="10" borderId="0" xfId="0" applyFont="1" applyFill="1"/>
    <xf numFmtId="0" fontId="53" fillId="10" borderId="0" xfId="0" applyFont="1" applyFill="1" applyAlignment="1">
      <alignment horizontal="left"/>
    </xf>
    <xf numFmtId="0" fontId="31" fillId="10" borderId="0" xfId="0" applyFont="1" applyFill="1"/>
    <xf numFmtId="0" fontId="54" fillId="10" borderId="0" xfId="0" applyFont="1" applyFill="1"/>
    <xf numFmtId="0" fontId="55" fillId="10" borderId="0" xfId="0" applyFont="1" applyFill="1" applyAlignment="1">
      <alignment horizontal="left" wrapText="1"/>
    </xf>
    <xf numFmtId="0" fontId="17" fillId="10" borderId="0" xfId="0" applyFont="1" applyFill="1" applyAlignment="1">
      <alignment vertical="center"/>
    </xf>
    <xf numFmtId="4" fontId="56" fillId="10" borderId="0" xfId="0" applyNumberFormat="1" applyFont="1" applyFill="1" applyAlignment="1">
      <alignment vertical="center"/>
    </xf>
    <xf numFmtId="0" fontId="26" fillId="10" borderId="0" xfId="0" applyFont="1" applyFill="1" applyAlignment="1">
      <alignment vertical="center"/>
    </xf>
    <xf numFmtId="0" fontId="17" fillId="0" borderId="0" xfId="0" applyFont="1" applyAlignment="1">
      <alignment vertical="center"/>
    </xf>
    <xf numFmtId="0" fontId="20" fillId="10" borderId="0" xfId="0" applyFont="1" applyFill="1" applyAlignment="1">
      <alignment horizontal="center" wrapText="1"/>
    </xf>
    <xf numFmtId="0" fontId="20" fillId="0" borderId="5" xfId="0" applyFont="1" applyBorder="1" applyAlignment="1">
      <alignment horizontal="center" wrapText="1"/>
    </xf>
    <xf numFmtId="0" fontId="17" fillId="10" borderId="0" xfId="0" applyFont="1" applyFill="1" applyAlignment="1">
      <alignment horizontal="center"/>
    </xf>
    <xf numFmtId="3" fontId="31" fillId="10" borderId="6" xfId="0" applyNumberFormat="1" applyFont="1" applyFill="1" applyBorder="1" applyAlignment="1" applyProtection="1">
      <alignment horizontal="center"/>
      <protection locked="0"/>
    </xf>
    <xf numFmtId="4" fontId="31" fillId="8" borderId="6" xfId="0" applyNumberFormat="1" applyFont="1" applyFill="1" applyBorder="1" applyAlignment="1">
      <alignment horizontal="center"/>
    </xf>
    <xf numFmtId="166" fontId="31" fillId="9" borderId="6" xfId="0" applyNumberFormat="1" applyFont="1" applyFill="1" applyBorder="1" applyAlignment="1">
      <alignment horizontal="center"/>
    </xf>
    <xf numFmtId="3" fontId="31" fillId="9" borderId="6" xfId="0" applyNumberFormat="1" applyFont="1" applyFill="1" applyBorder="1" applyAlignment="1">
      <alignment horizontal="center"/>
    </xf>
    <xf numFmtId="167" fontId="31" fillId="9" borderId="6" xfId="0" applyNumberFormat="1" applyFont="1" applyFill="1" applyBorder="1" applyAlignment="1">
      <alignment horizontal="center"/>
    </xf>
    <xf numFmtId="166" fontId="31" fillId="8" borderId="6" xfId="0" applyNumberFormat="1" applyFont="1" applyFill="1" applyBorder="1" applyAlignment="1">
      <alignment horizontal="center"/>
    </xf>
    <xf numFmtId="4" fontId="17" fillId="10" borderId="0" xfId="0" applyNumberFormat="1" applyFont="1" applyFill="1" applyAlignment="1">
      <alignment horizontal="center"/>
    </xf>
    <xf numFmtId="0" fontId="32" fillId="10" borderId="0" xfId="0" applyFont="1" applyFill="1" applyAlignment="1">
      <alignment horizontal="left"/>
    </xf>
    <xf numFmtId="0" fontId="32" fillId="10" borderId="0" xfId="0" applyFont="1" applyFill="1" applyAlignment="1">
      <alignment vertical="center"/>
    </xf>
    <xf numFmtId="0" fontId="31" fillId="10" borderId="0" xfId="0" applyFont="1" applyFill="1" applyAlignment="1">
      <alignment horizontal="left"/>
    </xf>
    <xf numFmtId="0" fontId="20" fillId="10" borderId="0" xfId="0" applyFont="1" applyFill="1"/>
    <xf numFmtId="3" fontId="31" fillId="8" borderId="6" xfId="0" applyNumberFormat="1" applyFont="1" applyFill="1" applyBorder="1"/>
    <xf numFmtId="166" fontId="31" fillId="9" borderId="6" xfId="0" applyNumberFormat="1" applyFont="1" applyFill="1" applyBorder="1"/>
    <xf numFmtId="3" fontId="31" fillId="9" borderId="6" xfId="0" applyNumberFormat="1" applyFont="1" applyFill="1" applyBorder="1"/>
    <xf numFmtId="166" fontId="31" fillId="8" borderId="6" xfId="0" applyNumberFormat="1" applyFont="1" applyFill="1" applyBorder="1"/>
    <xf numFmtId="3" fontId="31" fillId="10" borderId="7" xfId="0" applyNumberFormat="1" applyFont="1" applyFill="1" applyBorder="1" applyAlignment="1" applyProtection="1">
      <alignment horizontal="center"/>
      <protection locked="0"/>
    </xf>
    <xf numFmtId="3" fontId="31" fillId="10" borderId="0" xfId="0" applyNumberFormat="1" applyFont="1" applyFill="1"/>
    <xf numFmtId="166" fontId="31" fillId="10" borderId="0" xfId="0" applyNumberFormat="1" applyFont="1" applyFill="1"/>
    <xf numFmtId="3" fontId="31" fillId="10" borderId="5" xfId="0" applyNumberFormat="1" applyFont="1" applyFill="1" applyBorder="1" applyAlignment="1" applyProtection="1">
      <alignment horizontal="center"/>
      <protection locked="0"/>
    </xf>
    <xf numFmtId="3" fontId="31" fillId="10" borderId="0" xfId="0" applyNumberFormat="1" applyFont="1" applyFill="1" applyAlignment="1">
      <alignment vertical="top"/>
    </xf>
    <xf numFmtId="3" fontId="31" fillId="10" borderId="0" xfId="0" applyNumberFormat="1" applyFont="1" applyFill="1" applyAlignment="1" applyProtection="1">
      <alignment horizontal="center"/>
      <protection locked="0"/>
    </xf>
    <xf numFmtId="0" fontId="51" fillId="10" borderId="0" xfId="0" applyFont="1" applyFill="1"/>
    <xf numFmtId="0" fontId="51" fillId="10" borderId="0" xfId="0" applyFont="1" applyFill="1" applyAlignment="1">
      <alignment horizontal="left"/>
    </xf>
    <xf numFmtId="4" fontId="56" fillId="10" borderId="0" xfId="0" applyNumberFormat="1" applyFont="1" applyFill="1"/>
    <xf numFmtId="0" fontId="41" fillId="10" borderId="0" xfId="0" applyFont="1" applyFill="1"/>
    <xf numFmtId="0" fontId="47" fillId="10" borderId="0" xfId="0" applyFont="1" applyFill="1"/>
    <xf numFmtId="4" fontId="17" fillId="10" borderId="0" xfId="0" applyNumberFormat="1" applyFont="1" applyFill="1"/>
    <xf numFmtId="0" fontId="22" fillId="10" borderId="0" xfId="0" applyFont="1" applyFill="1"/>
    <xf numFmtId="0" fontId="20" fillId="10" borderId="0" xfId="0" applyFont="1" applyFill="1" applyAlignment="1">
      <alignment wrapText="1"/>
    </xf>
    <xf numFmtId="164" fontId="31" fillId="9" borderId="6" xfId="0" applyNumberFormat="1" applyFont="1" applyFill="1" applyBorder="1"/>
    <xf numFmtId="164" fontId="31" fillId="8" borderId="6" xfId="0" applyNumberFormat="1" applyFont="1" applyFill="1" applyBorder="1"/>
    <xf numFmtId="4" fontId="31" fillId="8" borderId="6" xfId="0" applyNumberFormat="1" applyFont="1" applyFill="1" applyBorder="1"/>
    <xf numFmtId="2" fontId="31" fillId="10" borderId="0" xfId="0" applyNumberFormat="1" applyFont="1" applyFill="1"/>
    <xf numFmtId="0" fontId="17" fillId="0" borderId="0" xfId="0" applyFont="1" applyAlignment="1">
      <alignment horizontal="left"/>
    </xf>
    <xf numFmtId="0" fontId="35" fillId="10" borderId="0" xfId="0" applyFont="1" applyFill="1" applyAlignment="1">
      <alignment horizontal="left"/>
    </xf>
    <xf numFmtId="0" fontId="31" fillId="10" borderId="0" xfId="0" applyFont="1" applyFill="1" applyAlignment="1">
      <alignment horizontal="right"/>
    </xf>
    <xf numFmtId="3" fontId="31" fillId="8" borderId="6" xfId="0" applyNumberFormat="1" applyFont="1" applyFill="1" applyBorder="1" applyAlignment="1">
      <alignment horizontal="center"/>
    </xf>
    <xf numFmtId="165" fontId="31" fillId="9" borderId="6" xfId="0" applyNumberFormat="1" applyFont="1" applyFill="1" applyBorder="1"/>
    <xf numFmtId="165" fontId="31" fillId="8" borderId="6" xfId="0" applyNumberFormat="1" applyFont="1" applyFill="1" applyBorder="1"/>
    <xf numFmtId="171" fontId="31" fillId="8" borderId="6" xfId="0" applyNumberFormat="1" applyFont="1" applyFill="1" applyBorder="1"/>
    <xf numFmtId="167" fontId="31" fillId="8" borderId="6" xfId="0" applyNumberFormat="1" applyFont="1" applyFill="1" applyBorder="1"/>
    <xf numFmtId="0" fontId="62" fillId="10" borderId="0" xfId="0" applyFont="1" applyFill="1"/>
    <xf numFmtId="0" fontId="39" fillId="10" borderId="0" xfId="107" applyFont="1" applyFill="1" applyAlignment="1">
      <alignment horizontal="left" vertical="center"/>
    </xf>
    <xf numFmtId="0" fontId="55" fillId="10" borderId="0" xfId="0" applyFont="1" applyFill="1" applyAlignment="1">
      <alignment horizontal="left" vertical="center" wrapText="1"/>
    </xf>
    <xf numFmtId="4" fontId="65" fillId="10" borderId="0" xfId="0" applyNumberFormat="1" applyFont="1" applyFill="1"/>
    <xf numFmtId="0" fontId="17" fillId="10" borderId="0" xfId="0" applyFont="1" applyFill="1" applyAlignment="1">
      <alignment horizontal="center" wrapText="1"/>
    </xf>
    <xf numFmtId="0" fontId="43" fillId="10" borderId="0" xfId="0" applyFont="1" applyFill="1" applyAlignment="1">
      <alignment vertical="top"/>
    </xf>
    <xf numFmtId="0" fontId="31" fillId="10" borderId="13" xfId="0" applyFont="1" applyFill="1" applyBorder="1"/>
    <xf numFmtId="4" fontId="31" fillId="9" borderId="6" xfId="0" applyNumberFormat="1" applyFont="1" applyFill="1" applyBorder="1"/>
    <xf numFmtId="0" fontId="59" fillId="10" borderId="0" xfId="0" applyFont="1" applyFill="1" applyAlignment="1" applyProtection="1">
      <alignment horizontal="left"/>
      <protection locked="0"/>
    </xf>
    <xf numFmtId="0" fontId="60" fillId="10" borderId="0" xfId="0" applyFont="1" applyFill="1"/>
    <xf numFmtId="0" fontId="31" fillId="10" borderId="0" xfId="0" applyFont="1" applyFill="1" applyAlignment="1">
      <alignment horizontal="center" vertical="center"/>
    </xf>
    <xf numFmtId="0" fontId="20" fillId="10" borderId="25" xfId="0" applyFont="1" applyFill="1" applyBorder="1"/>
    <xf numFmtId="0" fontId="31" fillId="10" borderId="25" xfId="0" applyFont="1" applyFill="1" applyBorder="1"/>
    <xf numFmtId="0" fontId="33" fillId="10" borderId="6" xfId="0" applyFont="1" applyFill="1" applyBorder="1" applyAlignment="1" applyProtection="1">
      <alignment horizontal="right" vertical="center" wrapText="1"/>
      <protection locked="0"/>
    </xf>
    <xf numFmtId="0" fontId="33" fillId="10" borderId="0" xfId="0" quotePrefix="1" applyFont="1" applyFill="1" applyAlignment="1">
      <alignment horizontal="right" vertical="center" wrapText="1"/>
    </xf>
    <xf numFmtId="1" fontId="33" fillId="10" borderId="0" xfId="0" applyNumberFormat="1" applyFont="1" applyFill="1" applyAlignment="1">
      <alignment horizontal="right" vertical="center" wrapText="1"/>
    </xf>
    <xf numFmtId="0" fontId="68" fillId="10" borderId="0" xfId="0" applyFont="1" applyFill="1"/>
    <xf numFmtId="0" fontId="57" fillId="15" borderId="0" xfId="0" applyFont="1" applyFill="1"/>
    <xf numFmtId="0" fontId="41" fillId="10" borderId="0" xfId="0" applyFont="1" applyFill="1" applyAlignment="1">
      <alignment wrapText="1"/>
    </xf>
    <xf numFmtId="0" fontId="60" fillId="10" borderId="0" xfId="0" applyFont="1" applyFill="1" applyAlignment="1">
      <alignment wrapText="1"/>
    </xf>
    <xf numFmtId="0" fontId="60" fillId="10" borderId="0" xfId="0" applyFont="1" applyFill="1" applyAlignment="1">
      <alignment horizontal="center" wrapText="1"/>
    </xf>
    <xf numFmtId="169" fontId="31" fillId="8" borderId="6" xfId="0" applyNumberFormat="1" applyFont="1" applyFill="1" applyBorder="1"/>
    <xf numFmtId="0" fontId="25" fillId="10" borderId="0" xfId="0" applyFont="1" applyFill="1"/>
    <xf numFmtId="3" fontId="31" fillId="10" borderId="0" xfId="0" applyNumberFormat="1" applyFont="1" applyFill="1" applyProtection="1">
      <protection locked="0"/>
    </xf>
    <xf numFmtId="0" fontId="59" fillId="10" borderId="0" xfId="0" applyFont="1" applyFill="1" applyAlignment="1" applyProtection="1">
      <alignment vertical="top"/>
      <protection locked="0"/>
    </xf>
    <xf numFmtId="3" fontId="31" fillId="10" borderId="0" xfId="0" applyNumberFormat="1" applyFont="1" applyFill="1" applyAlignment="1" applyProtection="1">
      <alignment wrapText="1"/>
      <protection locked="0"/>
    </xf>
    <xf numFmtId="0" fontId="31" fillId="10" borderId="0" xfId="0" applyFont="1" applyFill="1" applyAlignment="1">
      <alignment vertical="center"/>
    </xf>
    <xf numFmtId="0" fontId="31" fillId="0" borderId="0" xfId="0" applyFont="1" applyAlignment="1">
      <alignment vertical="center"/>
    </xf>
    <xf numFmtId="0" fontId="22" fillId="10" borderId="6" xfId="0" applyFont="1" applyFill="1" applyBorder="1" applyAlignment="1" applyProtection="1">
      <alignment horizontal="right" vertical="center" wrapText="1"/>
      <protection locked="0"/>
    </xf>
    <xf numFmtId="0" fontId="22" fillId="10" borderId="0" xfId="0" quotePrefix="1" applyFont="1" applyFill="1" applyAlignment="1">
      <alignment horizontal="right" vertical="center" wrapText="1"/>
    </xf>
    <xf numFmtId="2" fontId="22" fillId="10" borderId="0" xfId="0" applyNumberFormat="1" applyFont="1" applyFill="1" applyAlignment="1">
      <alignment horizontal="right" vertical="center" wrapText="1"/>
    </xf>
    <xf numFmtId="0" fontId="33" fillId="10" borderId="0" xfId="0" applyFont="1" applyFill="1" applyAlignment="1">
      <alignment horizontal="left" wrapText="1"/>
    </xf>
    <xf numFmtId="0" fontId="49" fillId="10" borderId="0" xfId="0" applyFont="1" applyFill="1" applyAlignment="1">
      <alignment horizontal="left"/>
    </xf>
    <xf numFmtId="0" fontId="69" fillId="10" borderId="0" xfId="0" applyFont="1" applyFill="1" applyAlignment="1">
      <alignment horizontal="left"/>
    </xf>
    <xf numFmtId="0" fontId="68" fillId="10" borderId="0" xfId="0" applyFont="1" applyFill="1" applyAlignment="1">
      <alignment horizontal="left"/>
    </xf>
    <xf numFmtId="0" fontId="68" fillId="10" borderId="0" xfId="0" applyFont="1" applyFill="1" applyAlignment="1">
      <alignment horizontal="left" vertical="center"/>
    </xf>
    <xf numFmtId="0" fontId="71" fillId="10" borderId="0" xfId="0" applyFont="1" applyFill="1" applyAlignment="1">
      <alignment horizontal="left" vertical="center"/>
    </xf>
    <xf numFmtId="0" fontId="72" fillId="10" borderId="0" xfId="0" applyFont="1" applyFill="1" applyAlignment="1">
      <alignment horizontal="left" vertical="center"/>
    </xf>
    <xf numFmtId="0" fontId="72" fillId="10" borderId="0" xfId="0" applyFont="1" applyFill="1" applyAlignment="1">
      <alignment vertical="center"/>
    </xf>
    <xf numFmtId="0" fontId="75" fillId="10" borderId="0" xfId="0" applyFont="1" applyFill="1" applyAlignment="1">
      <alignment horizontal="left" vertical="center"/>
    </xf>
    <xf numFmtId="0" fontId="75" fillId="10" borderId="0" xfId="0" applyFont="1" applyFill="1" applyAlignment="1">
      <alignment vertical="center"/>
    </xf>
    <xf numFmtId="0" fontId="78" fillId="10" borderId="0" xfId="0" applyFont="1" applyFill="1" applyAlignment="1">
      <alignment horizontal="left" vertical="center"/>
    </xf>
    <xf numFmtId="0" fontId="78" fillId="10" borderId="0" xfId="0" applyFont="1" applyFill="1" applyAlignment="1">
      <alignment vertical="center"/>
    </xf>
    <xf numFmtId="0" fontId="53" fillId="10" borderId="0" xfId="0" applyFont="1" applyFill="1" applyAlignment="1">
      <alignment horizontal="left" vertical="center"/>
    </xf>
    <xf numFmtId="0" fontId="53" fillId="10" borderId="0" xfId="0" applyFont="1" applyFill="1" applyAlignment="1">
      <alignment vertical="center"/>
    </xf>
    <xf numFmtId="0" fontId="82" fillId="10" borderId="0" xfId="0" applyFont="1" applyFill="1" applyAlignment="1">
      <alignment horizontal="left"/>
    </xf>
    <xf numFmtId="0" fontId="17" fillId="10" borderId="2" xfId="0" applyFont="1" applyFill="1" applyBorder="1"/>
    <xf numFmtId="0" fontId="17" fillId="10" borderId="3" xfId="0" applyFont="1" applyFill="1" applyBorder="1"/>
    <xf numFmtId="0" fontId="17" fillId="10" borderId="4" xfId="0" applyFont="1" applyFill="1" applyBorder="1"/>
    <xf numFmtId="0" fontId="17" fillId="10" borderId="0" xfId="0" applyFont="1" applyFill="1" applyAlignment="1">
      <alignment horizontal="left" indent="1"/>
    </xf>
    <xf numFmtId="0" fontId="21" fillId="10" borderId="0" xfId="0" applyFont="1" applyFill="1" applyAlignment="1">
      <alignment horizontal="left" vertical="top" indent="1"/>
    </xf>
    <xf numFmtId="0" fontId="21" fillId="10" borderId="0" xfId="0" applyFont="1" applyFill="1" applyAlignment="1">
      <alignment horizontal="left" vertical="top" wrapText="1" indent="1"/>
    </xf>
    <xf numFmtId="0" fontId="39" fillId="10" borderId="0" xfId="107" applyFont="1" applyFill="1" applyAlignment="1">
      <alignment horizontal="left" vertical="top" indent="1"/>
    </xf>
    <xf numFmtId="0" fontId="57" fillId="5" borderId="0" xfId="0" applyFont="1" applyFill="1"/>
    <xf numFmtId="0" fontId="21" fillId="10" borderId="0" xfId="0" applyFont="1" applyFill="1"/>
    <xf numFmtId="0" fontId="21" fillId="10" borderId="0" xfId="0" applyFont="1" applyFill="1" applyAlignment="1" applyProtection="1">
      <alignment vertical="top" wrapText="1"/>
      <protection locked="0"/>
    </xf>
    <xf numFmtId="0" fontId="12" fillId="13" borderId="0" xfId="107" applyFill="1" applyBorder="1"/>
    <xf numFmtId="0" fontId="32" fillId="13" borderId="0" xfId="0" applyFont="1" applyFill="1"/>
    <xf numFmtId="0" fontId="45" fillId="0" borderId="0" xfId="0" applyFont="1"/>
    <xf numFmtId="164" fontId="45" fillId="0" borderId="26" xfId="0" applyNumberFormat="1" applyFont="1" applyBorder="1"/>
    <xf numFmtId="164" fontId="45" fillId="0" borderId="27" xfId="0" applyNumberFormat="1" applyFont="1" applyBorder="1"/>
    <xf numFmtId="164" fontId="45" fillId="0" borderId="28" xfId="0" applyNumberFormat="1" applyFont="1" applyBorder="1"/>
    <xf numFmtId="164" fontId="36" fillId="0" borderId="26" xfId="0" applyNumberFormat="1" applyFont="1" applyBorder="1"/>
    <xf numFmtId="164" fontId="36" fillId="0" borderId="28" xfId="0" applyNumberFormat="1" applyFont="1" applyBorder="1"/>
    <xf numFmtId="164" fontId="36" fillId="0" borderId="27" xfId="0" applyNumberFormat="1" applyFont="1" applyBorder="1"/>
    <xf numFmtId="0" fontId="36" fillId="0" borderId="27" xfId="0" applyFont="1" applyBorder="1"/>
    <xf numFmtId="0" fontId="22" fillId="10" borderId="0" xfId="0" applyFont="1" applyFill="1" applyAlignment="1">
      <alignment horizontal="left"/>
    </xf>
    <xf numFmtId="0" fontId="22" fillId="10" borderId="0" xfId="0" applyFont="1" applyFill="1" applyAlignment="1">
      <alignment horizontal="left" vertical="center"/>
    </xf>
    <xf numFmtId="0" fontId="21" fillId="10" borderId="0" xfId="0" applyFont="1" applyFill="1" applyAlignment="1">
      <alignment horizontal="left" wrapText="1"/>
    </xf>
    <xf numFmtId="0" fontId="23" fillId="10" borderId="0" xfId="0" applyFont="1" applyFill="1" applyAlignment="1">
      <alignment horizontal="left" vertical="center" wrapText="1"/>
    </xf>
    <xf numFmtId="3" fontId="31" fillId="10" borderId="12" xfId="0" applyNumberFormat="1" applyFont="1" applyFill="1" applyBorder="1" applyAlignment="1">
      <alignment horizontal="center"/>
    </xf>
    <xf numFmtId="173" fontId="17" fillId="10" borderId="0" xfId="0" applyNumberFormat="1" applyFont="1" applyFill="1"/>
    <xf numFmtId="0" fontId="85" fillId="12" borderId="0" xfId="0" applyFont="1" applyFill="1"/>
    <xf numFmtId="0" fontId="86" fillId="12" borderId="0" xfId="0" applyFont="1" applyFill="1" applyAlignment="1">
      <alignment horizontal="center"/>
    </xf>
    <xf numFmtId="0" fontId="32" fillId="10" borderId="0" xfId="0" applyFont="1" applyFill="1" applyAlignment="1">
      <alignment horizontal="center" wrapText="1"/>
    </xf>
    <xf numFmtId="173" fontId="32" fillId="10" borderId="0" xfId="0" applyNumberFormat="1" applyFont="1" applyFill="1" applyAlignment="1">
      <alignment horizontal="center"/>
    </xf>
    <xf numFmtId="0" fontId="31" fillId="6" borderId="0" xfId="0" applyFont="1" applyFill="1" applyAlignment="1">
      <alignment horizontal="center" wrapText="1"/>
    </xf>
    <xf numFmtId="0" fontId="31" fillId="6" borderId="0" xfId="0" applyFont="1" applyFill="1" applyAlignment="1">
      <alignment horizontal="center"/>
    </xf>
    <xf numFmtId="0" fontId="87" fillId="0" borderId="0" xfId="0" applyFont="1"/>
    <xf numFmtId="0" fontId="88" fillId="0" borderId="0" xfId="0" applyFont="1"/>
    <xf numFmtId="172" fontId="36" fillId="0" borderId="0" xfId="108" applyNumberFormat="1" applyFont="1" applyFill="1" applyBorder="1"/>
    <xf numFmtId="0" fontId="57" fillId="12" borderId="0" xfId="0" applyFont="1" applyFill="1" applyAlignment="1">
      <alignment horizontal="left"/>
    </xf>
    <xf numFmtId="0" fontId="57" fillId="16" borderId="0" xfId="0" applyFont="1" applyFill="1"/>
    <xf numFmtId="43" fontId="37" fillId="0" borderId="0" xfId="0" applyNumberFormat="1" applyFont="1"/>
    <xf numFmtId="174" fontId="37" fillId="0" borderId="0" xfId="0" applyNumberFormat="1" applyFont="1"/>
    <xf numFmtId="0" fontId="20" fillId="10" borderId="0" xfId="0" applyFont="1" applyFill="1" applyAlignment="1">
      <alignment horizontal="center"/>
    </xf>
    <xf numFmtId="0" fontId="89" fillId="10" borderId="0" xfId="0" applyFont="1" applyFill="1" applyAlignment="1">
      <alignment horizontal="left"/>
    </xf>
    <xf numFmtId="0" fontId="56" fillId="10" borderId="0" xfId="0" applyFont="1" applyFill="1"/>
    <xf numFmtId="0" fontId="70" fillId="10" borderId="0" xfId="0" applyFont="1" applyFill="1" applyAlignment="1">
      <alignment horizontal="left"/>
    </xf>
    <xf numFmtId="0" fontId="12" fillId="10" borderId="0" xfId="107" applyFill="1" applyAlignment="1"/>
    <xf numFmtId="0" fontId="31" fillId="10" borderId="13" xfId="0" applyFont="1" applyFill="1" applyBorder="1" applyAlignment="1">
      <alignment horizontal="left"/>
    </xf>
    <xf numFmtId="0" fontId="57" fillId="12" borderId="0" xfId="0" applyFont="1" applyFill="1" applyAlignment="1">
      <alignment horizontal="left" wrapText="1"/>
    </xf>
    <xf numFmtId="169" fontId="72" fillId="10" borderId="0" xfId="0" applyNumberFormat="1" applyFont="1" applyFill="1" applyAlignment="1">
      <alignment horizontal="center"/>
    </xf>
    <xf numFmtId="169" fontId="90" fillId="10" borderId="0" xfId="0" applyNumberFormat="1" applyFont="1" applyFill="1" applyAlignment="1">
      <alignment horizontal="center"/>
    </xf>
    <xf numFmtId="169" fontId="78" fillId="10" borderId="0" xfId="0" applyNumberFormat="1" applyFont="1" applyFill="1" applyAlignment="1">
      <alignment horizontal="center"/>
    </xf>
    <xf numFmtId="169" fontId="35" fillId="10" borderId="0" xfId="0" applyNumberFormat="1" applyFont="1" applyFill="1" applyAlignment="1">
      <alignment horizontal="center"/>
    </xf>
    <xf numFmtId="0" fontId="61" fillId="10" borderId="0" xfId="0" applyFont="1" applyFill="1" applyAlignment="1">
      <alignment horizontal="center" vertical="center"/>
    </xf>
    <xf numFmtId="0" fontId="61" fillId="10" borderId="0" xfId="0" applyFont="1" applyFill="1" applyAlignment="1">
      <alignment horizontal="left" vertical="center"/>
    </xf>
    <xf numFmtId="0" fontId="31" fillId="10" borderId="0" xfId="0" applyFont="1" applyFill="1" applyAlignment="1">
      <alignment horizontal="left" wrapText="1"/>
    </xf>
    <xf numFmtId="0" fontId="31" fillId="10" borderId="0" xfId="0" applyFont="1" applyFill="1" applyAlignment="1">
      <alignment wrapText="1"/>
    </xf>
    <xf numFmtId="0" fontId="57" fillId="12" borderId="0" xfId="0" applyFont="1" applyFill="1"/>
    <xf numFmtId="0" fontId="41" fillId="10" borderId="0" xfId="0" applyFont="1" applyFill="1" applyAlignment="1">
      <alignment horizontal="left"/>
    </xf>
    <xf numFmtId="0" fontId="31" fillId="10" borderId="0" xfId="0" applyFont="1" applyFill="1" applyAlignment="1">
      <alignment horizontal="center"/>
    </xf>
    <xf numFmtId="0" fontId="22" fillId="10" borderId="0" xfId="0" applyFont="1" applyFill="1" applyAlignment="1">
      <alignment horizontal="left" vertical="center" wrapText="1"/>
    </xf>
    <xf numFmtId="0" fontId="41" fillId="0" borderId="0" xfId="0" applyFont="1" applyAlignment="1">
      <alignment wrapText="1"/>
    </xf>
    <xf numFmtId="4" fontId="31" fillId="10" borderId="0" xfId="0" applyNumberFormat="1" applyFont="1" applyFill="1"/>
    <xf numFmtId="0" fontId="97" fillId="10" borderId="0" xfId="107" applyFont="1" applyFill="1" applyBorder="1"/>
    <xf numFmtId="4" fontId="31" fillId="10" borderId="0" xfId="0" applyNumberFormat="1" applyFont="1" applyFill="1" applyAlignment="1">
      <alignment horizontal="center"/>
    </xf>
    <xf numFmtId="0" fontId="31" fillId="10" borderId="0" xfId="0" applyFont="1" applyFill="1" applyAlignment="1" applyProtection="1">
      <alignment horizontal="center"/>
      <protection locked="0"/>
    </xf>
    <xf numFmtId="0" fontId="20" fillId="10" borderId="0" xfId="0" applyFont="1" applyFill="1" applyAlignment="1">
      <alignment vertical="center"/>
    </xf>
    <xf numFmtId="0" fontId="98" fillId="10" borderId="0" xfId="105" applyFont="1" applyFill="1" applyAlignment="1">
      <alignment vertical="center"/>
    </xf>
    <xf numFmtId="0" fontId="33" fillId="10" borderId="0" xfId="0" applyFont="1" applyFill="1" applyAlignment="1">
      <alignment horizontal="left" vertical="center" wrapText="1"/>
    </xf>
    <xf numFmtId="0" fontId="67" fillId="10" borderId="0" xfId="0" applyFont="1" applyFill="1" applyAlignment="1">
      <alignment horizontal="left" wrapText="1"/>
    </xf>
    <xf numFmtId="0" fontId="31" fillId="9" borderId="6" xfId="0" applyFont="1" applyFill="1" applyBorder="1"/>
    <xf numFmtId="0" fontId="31" fillId="8" borderId="6" xfId="0" applyFont="1" applyFill="1" applyBorder="1"/>
    <xf numFmtId="0" fontId="47" fillId="10" borderId="0" xfId="0" applyFont="1" applyFill="1" applyAlignment="1">
      <alignment vertical="center" wrapText="1"/>
    </xf>
    <xf numFmtId="0" fontId="47" fillId="10" borderId="0" xfId="0" applyFont="1" applyFill="1" applyAlignment="1">
      <alignment vertical="center"/>
    </xf>
    <xf numFmtId="2" fontId="31" fillId="9" borderId="6" xfId="0" applyNumberFormat="1" applyFont="1" applyFill="1" applyBorder="1"/>
    <xf numFmtId="173" fontId="31" fillId="10" borderId="0" xfId="0" applyNumberFormat="1" applyFont="1" applyFill="1"/>
    <xf numFmtId="173" fontId="20" fillId="10" borderId="0" xfId="0" applyNumberFormat="1" applyFont="1" applyFill="1" applyAlignment="1">
      <alignment horizontal="center"/>
    </xf>
    <xf numFmtId="173" fontId="31" fillId="8" borderId="6" xfId="0" applyNumberFormat="1" applyFont="1" applyFill="1" applyBorder="1"/>
    <xf numFmtId="0" fontId="67" fillId="10" borderId="7" xfId="0" applyFont="1" applyFill="1" applyBorder="1" applyAlignment="1" applyProtection="1">
      <alignment horizontal="right" vertical="center" wrapText="1"/>
      <protection locked="0"/>
    </xf>
    <xf numFmtId="0" fontId="67" fillId="10" borderId="0" xfId="0" applyFont="1" applyFill="1"/>
    <xf numFmtId="0" fontId="67" fillId="10" borderId="7" xfId="0" applyFont="1" applyFill="1" applyBorder="1"/>
    <xf numFmtId="0" fontId="33" fillId="10" borderId="0" xfId="0" applyFont="1" applyFill="1" applyAlignment="1">
      <alignment wrapText="1"/>
    </xf>
    <xf numFmtId="0" fontId="22" fillId="0" borderId="25" xfId="0" applyFont="1" applyBorder="1" applyAlignment="1">
      <alignment horizontal="center" wrapText="1"/>
    </xf>
    <xf numFmtId="9" fontId="33" fillId="0" borderId="25" xfId="0" applyNumberFormat="1" applyFont="1" applyBorder="1" applyAlignment="1">
      <alignment horizontal="center" wrapText="1"/>
    </xf>
    <xf numFmtId="0" fontId="97" fillId="10" borderId="0" xfId="107" applyFont="1" applyFill="1" applyBorder="1" applyAlignment="1">
      <alignment horizontal="left"/>
    </xf>
    <xf numFmtId="0" fontId="33" fillId="10" borderId="0" xfId="0" applyFont="1" applyFill="1"/>
    <xf numFmtId="0" fontId="97" fillId="10" borderId="0" xfId="107" applyFont="1" applyFill="1" applyAlignment="1"/>
    <xf numFmtId="0" fontId="99" fillId="10" borderId="0" xfId="0" applyFont="1" applyFill="1" applyAlignment="1">
      <alignment horizontal="left"/>
    </xf>
    <xf numFmtId="170" fontId="36" fillId="0" borderId="0" xfId="0" applyNumberFormat="1" applyFont="1" applyAlignment="1">
      <alignment wrapText="1"/>
    </xf>
    <xf numFmtId="43" fontId="31" fillId="8" borderId="9" xfId="108" applyFont="1" applyFill="1" applyBorder="1"/>
    <xf numFmtId="0" fontId="32" fillId="9" borderId="6" xfId="0" applyFont="1" applyFill="1" applyBorder="1" applyAlignment="1">
      <alignment horizontal="center" wrapText="1"/>
    </xf>
    <xf numFmtId="0" fontId="33" fillId="10" borderId="13" xfId="0" applyFont="1" applyFill="1" applyBorder="1"/>
    <xf numFmtId="2" fontId="17" fillId="10" borderId="0" xfId="0" applyNumberFormat="1" applyFont="1" applyFill="1"/>
    <xf numFmtId="2" fontId="20" fillId="10" borderId="0" xfId="0" applyNumberFormat="1" applyFont="1" applyFill="1" applyAlignment="1">
      <alignment horizontal="center"/>
    </xf>
    <xf numFmtId="4" fontId="20" fillId="10" borderId="0" xfId="0" applyNumberFormat="1" applyFont="1" applyFill="1" applyAlignment="1">
      <alignment horizontal="center" wrapText="1"/>
    </xf>
    <xf numFmtId="4" fontId="17" fillId="10" borderId="0" xfId="0" applyNumberFormat="1" applyFont="1" applyFill="1" applyAlignment="1">
      <alignment horizontal="right"/>
    </xf>
    <xf numFmtId="4" fontId="31" fillId="10" borderId="0" xfId="0" applyNumberFormat="1" applyFont="1" applyFill="1" applyAlignment="1">
      <alignment horizontal="right"/>
    </xf>
    <xf numFmtId="4" fontId="20" fillId="10" borderId="0" xfId="0" applyNumberFormat="1" applyFont="1" applyFill="1" applyAlignment="1">
      <alignment horizontal="right" wrapText="1"/>
    </xf>
    <xf numFmtId="169" fontId="70" fillId="10" borderId="0" xfId="0" applyNumberFormat="1" applyFont="1" applyFill="1" applyAlignment="1">
      <alignment horizontal="center"/>
    </xf>
    <xf numFmtId="169" fontId="68" fillId="10" borderId="0" xfId="0" applyNumberFormat="1" applyFont="1" applyFill="1" applyAlignment="1">
      <alignment horizontal="center" vertical="center"/>
    </xf>
    <xf numFmtId="169" fontId="73" fillId="10" borderId="0" xfId="0" applyNumberFormat="1" applyFont="1" applyFill="1" applyAlignment="1">
      <alignment horizontal="center" vertical="center"/>
    </xf>
    <xf numFmtId="169" fontId="76" fillId="10" borderId="0" xfId="0" applyNumberFormat="1" applyFont="1" applyFill="1" applyAlignment="1">
      <alignment horizontal="center" vertical="center"/>
    </xf>
    <xf numFmtId="169" fontId="79" fillId="10" borderId="0" xfId="0" applyNumberFormat="1" applyFont="1" applyFill="1" applyAlignment="1">
      <alignment horizontal="center" vertical="center"/>
    </xf>
    <xf numFmtId="169" fontId="53" fillId="10" borderId="0" xfId="0" applyNumberFormat="1" applyFont="1" applyFill="1" applyAlignment="1">
      <alignment horizontal="center"/>
    </xf>
    <xf numFmtId="169" fontId="53" fillId="10" borderId="0" xfId="0" applyNumberFormat="1" applyFont="1" applyFill="1" applyAlignment="1">
      <alignment horizontal="center" vertical="center"/>
    </xf>
    <xf numFmtId="2" fontId="20" fillId="10" borderId="0" xfId="0" applyNumberFormat="1" applyFont="1" applyFill="1" applyAlignment="1">
      <alignment horizontal="center" vertical="center"/>
    </xf>
    <xf numFmtId="0" fontId="17" fillId="6" borderId="0" xfId="0" applyFont="1" applyFill="1" applyAlignment="1">
      <alignment wrapText="1"/>
    </xf>
    <xf numFmtId="0" fontId="100" fillId="0" borderId="0" xfId="0" applyFont="1"/>
    <xf numFmtId="0" fontId="47" fillId="10" borderId="0" xfId="0" applyFont="1" applyFill="1" applyAlignment="1">
      <alignment wrapText="1"/>
    </xf>
    <xf numFmtId="3" fontId="31" fillId="10" borderId="16" xfId="0" applyNumberFormat="1" applyFont="1" applyFill="1" applyBorder="1" applyAlignment="1" applyProtection="1">
      <alignment horizontal="center"/>
      <protection locked="0"/>
    </xf>
    <xf numFmtId="166" fontId="31" fillId="9" borderId="9" xfId="0" applyNumberFormat="1" applyFont="1" applyFill="1" applyBorder="1" applyAlignment="1">
      <alignment horizontal="center"/>
    </xf>
    <xf numFmtId="4" fontId="31" fillId="8" borderId="25" xfId="0" applyNumberFormat="1" applyFont="1" applyFill="1" applyBorder="1" applyAlignment="1">
      <alignment horizontal="center"/>
    </xf>
    <xf numFmtId="0" fontId="17" fillId="12" borderId="0" xfId="0" applyFont="1" applyFill="1"/>
    <xf numFmtId="0" fontId="19" fillId="12" borderId="0" xfId="0" applyFont="1" applyFill="1"/>
    <xf numFmtId="0" fontId="101" fillId="10" borderId="0" xfId="0" applyFont="1" applyFill="1"/>
    <xf numFmtId="0" fontId="67" fillId="10" borderId="0" xfId="0" applyFont="1" applyFill="1" applyAlignment="1" applyProtection="1">
      <alignment horizontal="right" vertical="center" wrapText="1"/>
      <protection locked="0"/>
    </xf>
    <xf numFmtId="0" fontId="20" fillId="10" borderId="0" xfId="0" quotePrefix="1" applyFont="1" applyFill="1"/>
    <xf numFmtId="0" fontId="20" fillId="10" borderId="5" xfId="0" applyFont="1" applyFill="1" applyBorder="1" applyAlignment="1">
      <alignment horizontal="center" wrapText="1"/>
    </xf>
    <xf numFmtId="0" fontId="102" fillId="12" borderId="0" xfId="0" applyFont="1" applyFill="1"/>
    <xf numFmtId="0" fontId="22" fillId="10" borderId="0" xfId="0" applyFont="1" applyFill="1" applyAlignment="1">
      <alignment vertical="top"/>
    </xf>
    <xf numFmtId="4" fontId="56" fillId="0" borderId="0" xfId="0" applyNumberFormat="1" applyFont="1"/>
    <xf numFmtId="169" fontId="53" fillId="0" borderId="0" xfId="0" applyNumberFormat="1" applyFont="1" applyAlignment="1">
      <alignment horizontal="center" vertical="center"/>
    </xf>
    <xf numFmtId="175" fontId="31" fillId="9" borderId="6" xfId="0" applyNumberFormat="1" applyFont="1" applyFill="1" applyBorder="1"/>
    <xf numFmtId="175" fontId="31" fillId="8" borderId="6" xfId="0" applyNumberFormat="1" applyFont="1" applyFill="1" applyBorder="1"/>
    <xf numFmtId="0" fontId="22" fillId="10" borderId="0" xfId="0" applyFont="1" applyFill="1" applyAlignment="1">
      <alignment horizontal="left" wrapText="1"/>
    </xf>
    <xf numFmtId="0" fontId="101" fillId="10" borderId="0" xfId="0" applyFont="1" applyFill="1" applyAlignment="1">
      <alignment horizontal="left"/>
    </xf>
    <xf numFmtId="43" fontId="53" fillId="10" borderId="0" xfId="108" applyFont="1" applyFill="1" applyAlignment="1">
      <alignment vertical="center"/>
    </xf>
    <xf numFmtId="0" fontId="32" fillId="13" borderId="0" xfId="107" applyFont="1" applyFill="1" applyBorder="1"/>
    <xf numFmtId="0" fontId="22" fillId="10" borderId="0" xfId="0" applyFont="1" applyFill="1" applyAlignment="1">
      <alignment horizontal="right"/>
    </xf>
    <xf numFmtId="164" fontId="31" fillId="9" borderId="6" xfId="108" applyNumberFormat="1" applyFont="1" applyFill="1" applyBorder="1"/>
    <xf numFmtId="0" fontId="20" fillId="10" borderId="0" xfId="0" applyFont="1" applyFill="1" applyAlignment="1">
      <alignment horizontal="center" vertical="center" wrapText="1"/>
    </xf>
    <xf numFmtId="0" fontId="35" fillId="10" borderId="0" xfId="0" applyFont="1" applyFill="1" applyAlignment="1">
      <alignment vertical="center"/>
    </xf>
    <xf numFmtId="0" fontId="49" fillId="10" borderId="0" xfId="0" applyFont="1" applyFill="1" applyAlignment="1">
      <alignment vertical="center"/>
    </xf>
    <xf numFmtId="0" fontId="35" fillId="0" borderId="0" xfId="0" applyFont="1" applyAlignment="1">
      <alignment vertical="center"/>
    </xf>
    <xf numFmtId="0" fontId="17" fillId="10" borderId="0" xfId="0" applyFont="1" applyFill="1" applyAlignment="1" applyProtection="1">
      <alignment horizontal="left" vertical="center"/>
      <protection locked="0"/>
    </xf>
    <xf numFmtId="164" fontId="36" fillId="6" borderId="0" xfId="0" applyNumberFormat="1" applyFont="1" applyFill="1"/>
    <xf numFmtId="0" fontId="105" fillId="10" borderId="0" xfId="0" applyFont="1" applyFill="1"/>
    <xf numFmtId="0" fontId="41" fillId="10" borderId="0" xfId="0" applyFont="1" applyFill="1" applyAlignment="1">
      <alignment vertical="center" wrapText="1"/>
    </xf>
    <xf numFmtId="0" fontId="95" fillId="10" borderId="0" xfId="0" applyFont="1" applyFill="1" applyAlignment="1">
      <alignment vertical="center"/>
    </xf>
    <xf numFmtId="0" fontId="20" fillId="10" borderId="0" xfId="0" applyFont="1" applyFill="1" applyAlignment="1">
      <alignment horizontal="left" wrapText="1"/>
    </xf>
    <xf numFmtId="3" fontId="31" fillId="10" borderId="6" xfId="0" applyNumberFormat="1" applyFont="1" applyFill="1" applyBorder="1" applyAlignment="1" applyProtection="1">
      <alignment horizontal="right"/>
      <protection locked="0"/>
    </xf>
    <xf numFmtId="3" fontId="31" fillId="10" borderId="0" xfId="0" applyNumberFormat="1" applyFont="1" applyFill="1" applyAlignment="1">
      <alignment horizontal="right"/>
    </xf>
    <xf numFmtId="0" fontId="33" fillId="10" borderId="6" xfId="0" applyFont="1" applyFill="1" applyBorder="1" applyAlignment="1" applyProtection="1">
      <alignment horizontal="center" vertical="center" wrapText="1"/>
      <protection locked="0"/>
    </xf>
    <xf numFmtId="0" fontId="33" fillId="10" borderId="0" xfId="0" applyFont="1" applyFill="1" applyAlignment="1" applyProtection="1">
      <alignment horizontal="center" vertical="center" wrapText="1"/>
      <protection locked="0"/>
    </xf>
    <xf numFmtId="4" fontId="56" fillId="10" borderId="0" xfId="0" applyNumberFormat="1" applyFont="1" applyFill="1" applyAlignment="1">
      <alignment horizontal="center"/>
    </xf>
    <xf numFmtId="172" fontId="22" fillId="10" borderId="0" xfId="108" applyNumberFormat="1" applyFont="1" applyFill="1" applyAlignment="1" applyProtection="1">
      <alignment horizontal="center" vertical="center" wrapText="1"/>
    </xf>
    <xf numFmtId="43" fontId="22" fillId="10" borderId="0" xfId="108" applyFont="1" applyFill="1" applyAlignment="1" applyProtection="1">
      <alignment horizontal="center" vertical="center" wrapText="1"/>
    </xf>
    <xf numFmtId="0" fontId="22" fillId="10" borderId="0" xfId="0" applyFont="1" applyFill="1" applyAlignment="1">
      <alignment horizontal="center" vertical="center"/>
    </xf>
    <xf numFmtId="0" fontId="106" fillId="10" borderId="0" xfId="0" applyFont="1" applyFill="1" applyAlignment="1">
      <alignment vertical="center" wrapText="1"/>
    </xf>
    <xf numFmtId="0" fontId="107" fillId="10" borderId="0" xfId="0" applyFont="1" applyFill="1"/>
    <xf numFmtId="3" fontId="107" fillId="10" borderId="0" xfId="0" applyNumberFormat="1" applyFont="1" applyFill="1" applyProtection="1">
      <protection locked="0"/>
    </xf>
    <xf numFmtId="43" fontId="36" fillId="0" borderId="0" xfId="108" applyFont="1" applyFill="1" applyBorder="1"/>
    <xf numFmtId="43" fontId="31" fillId="6" borderId="0" xfId="108" applyFont="1" applyFill="1" applyBorder="1"/>
    <xf numFmtId="43" fontId="45" fillId="0" borderId="0" xfId="108" applyFont="1" applyFill="1" applyBorder="1"/>
    <xf numFmtId="0" fontId="60" fillId="6" borderId="0" xfId="0" applyFont="1" applyFill="1"/>
    <xf numFmtId="176" fontId="45" fillId="0" borderId="0" xfId="108" applyNumberFormat="1" applyFont="1" applyFill="1" applyBorder="1"/>
    <xf numFmtId="3" fontId="31" fillId="8" borderId="8" xfId="0" applyNumberFormat="1" applyFont="1" applyFill="1" applyBorder="1"/>
    <xf numFmtId="172" fontId="31" fillId="8" borderId="6" xfId="108" applyNumberFormat="1" applyFont="1" applyFill="1" applyBorder="1"/>
    <xf numFmtId="43" fontId="31" fillId="8" borderId="6" xfId="0" applyNumberFormat="1" applyFont="1" applyFill="1" applyBorder="1"/>
    <xf numFmtId="170" fontId="31" fillId="9" borderId="6" xfId="0" applyNumberFormat="1" applyFont="1" applyFill="1" applyBorder="1"/>
    <xf numFmtId="0" fontId="60" fillId="0" borderId="0" xfId="0" applyFont="1" applyAlignment="1">
      <alignment wrapText="1"/>
    </xf>
    <xf numFmtId="3" fontId="22" fillId="10" borderId="0" xfId="0" applyNumberFormat="1" applyFont="1" applyFill="1" applyAlignment="1">
      <alignment horizontal="center" wrapText="1"/>
    </xf>
    <xf numFmtId="0" fontId="96" fillId="10" borderId="0" xfId="0" applyFont="1" applyFill="1" applyAlignment="1">
      <alignment horizontal="left" vertical="center"/>
    </xf>
    <xf numFmtId="0" fontId="96" fillId="10" borderId="0" xfId="0" applyFont="1" applyFill="1" applyAlignment="1">
      <alignment horizontal="left" vertical="center" wrapText="1"/>
    </xf>
    <xf numFmtId="0" fontId="12" fillId="10" borderId="0" xfId="107" applyFill="1" applyAlignment="1">
      <alignment horizontal="left" wrapText="1"/>
    </xf>
    <xf numFmtId="0" fontId="61" fillId="10" borderId="0" xfId="0" applyFont="1" applyFill="1" applyAlignment="1">
      <alignment horizontal="left"/>
    </xf>
    <xf numFmtId="0" fontId="20" fillId="8" borderId="6" xfId="0" applyFont="1" applyFill="1" applyBorder="1" applyAlignment="1">
      <alignment horizontal="center" wrapText="1"/>
    </xf>
    <xf numFmtId="0" fontId="109" fillId="6" borderId="0" xfId="0" applyFont="1" applyFill="1"/>
    <xf numFmtId="0" fontId="31" fillId="10" borderId="0" xfId="0" applyFont="1" applyFill="1" applyAlignment="1">
      <alignment horizontal="left" vertical="center" wrapText="1"/>
    </xf>
    <xf numFmtId="0" fontId="53" fillId="10" borderId="0" xfId="0" applyFont="1" applyFill="1" applyAlignment="1">
      <alignment horizontal="left" vertical="top" wrapText="1"/>
    </xf>
    <xf numFmtId="0" fontId="53" fillId="10" borderId="0" xfId="0" applyFont="1" applyFill="1" applyAlignment="1">
      <alignment horizontal="left" vertical="center" wrapText="1"/>
    </xf>
    <xf numFmtId="0" fontId="56" fillId="10" borderId="0" xfId="0" applyFont="1" applyFill="1" applyAlignment="1">
      <alignment horizontal="left" vertical="center"/>
    </xf>
    <xf numFmtId="0" fontId="96" fillId="10" borderId="0" xfId="0" applyFont="1" applyFill="1" applyAlignment="1">
      <alignment vertical="center"/>
    </xf>
    <xf numFmtId="0" fontId="31" fillId="10" borderId="13" xfId="0" applyFont="1" applyFill="1" applyBorder="1" applyAlignment="1">
      <alignment horizontal="left" wrapText="1"/>
    </xf>
    <xf numFmtId="0" fontId="67" fillId="10" borderId="0" xfId="0" applyFont="1" applyFill="1" applyAlignment="1">
      <alignment horizontal="left" vertical="center" wrapText="1"/>
    </xf>
    <xf numFmtId="0" fontId="53" fillId="17" borderId="6" xfId="0" applyFont="1" applyFill="1" applyBorder="1" applyAlignment="1" applyProtection="1">
      <alignment horizontal="left" vertical="center"/>
      <protection locked="0"/>
    </xf>
    <xf numFmtId="3" fontId="31" fillId="17" borderId="6" xfId="0" applyNumberFormat="1" applyFont="1" applyFill="1" applyBorder="1" applyAlignment="1" applyProtection="1">
      <alignment horizontal="center"/>
      <protection locked="0"/>
    </xf>
    <xf numFmtId="9" fontId="31" fillId="17" borderId="6" xfId="106" applyFont="1" applyFill="1" applyBorder="1" applyAlignment="1" applyProtection="1">
      <alignment horizontal="center"/>
      <protection locked="0"/>
    </xf>
    <xf numFmtId="3" fontId="31" fillId="17" borderId="6" xfId="0" applyNumberFormat="1" applyFont="1" applyFill="1" applyBorder="1" applyProtection="1">
      <protection locked="0"/>
    </xf>
    <xf numFmtId="3" fontId="31" fillId="17" borderId="6" xfId="0" applyNumberFormat="1" applyFont="1" applyFill="1" applyBorder="1" applyAlignment="1" applyProtection="1">
      <alignment horizontal="center" vertical="center"/>
      <protection locked="0"/>
    </xf>
    <xf numFmtId="0" fontId="47" fillId="10" borderId="0" xfId="0" applyFont="1" applyFill="1" applyAlignment="1">
      <alignment horizontal="center" vertical="center"/>
    </xf>
    <xf numFmtId="0" fontId="33" fillId="17" borderId="6" xfId="0" applyFont="1" applyFill="1" applyBorder="1" applyAlignment="1" applyProtection="1">
      <alignment horizontal="center" vertical="center" wrapText="1"/>
      <protection locked="0"/>
    </xf>
    <xf numFmtId="0" fontId="31" fillId="17" borderId="6" xfId="0" applyFont="1" applyFill="1" applyBorder="1" applyAlignment="1" applyProtection="1">
      <alignment horizontal="center"/>
      <protection locked="0"/>
    </xf>
    <xf numFmtId="3" fontId="66" fillId="17" borderId="6" xfId="0" applyNumberFormat="1" applyFont="1" applyFill="1" applyBorder="1" applyAlignment="1" applyProtection="1">
      <alignment horizontal="center" vertical="center"/>
      <protection locked="0"/>
    </xf>
    <xf numFmtId="3" fontId="59" fillId="17" borderId="9" xfId="0" applyNumberFormat="1" applyFont="1" applyFill="1" applyBorder="1" applyAlignment="1" applyProtection="1">
      <alignment horizontal="center"/>
      <protection locked="0"/>
    </xf>
    <xf numFmtId="3" fontId="59" fillId="17" borderId="6" xfId="0" applyNumberFormat="1" applyFont="1" applyFill="1" applyBorder="1" applyAlignment="1" applyProtection="1">
      <alignment horizontal="center"/>
      <protection locked="0"/>
    </xf>
    <xf numFmtId="9" fontId="31" fillId="17" borderId="6" xfId="106" applyFont="1" applyFill="1" applyBorder="1" applyAlignment="1" applyProtection="1">
      <alignment horizontal="center" wrapText="1"/>
      <protection locked="0"/>
    </xf>
    <xf numFmtId="0" fontId="33" fillId="17" borderId="6" xfId="0" applyFont="1" applyFill="1" applyBorder="1" applyAlignment="1" applyProtection="1">
      <alignment horizontal="right" vertical="center" wrapText="1"/>
      <protection locked="0"/>
    </xf>
    <xf numFmtId="3" fontId="31" fillId="17" borderId="6" xfId="0" applyNumberFormat="1" applyFont="1" applyFill="1" applyBorder="1" applyAlignment="1" applyProtection="1">
      <alignment horizontal="left"/>
      <protection locked="0"/>
    </xf>
    <xf numFmtId="4" fontId="31" fillId="17" borderId="6" xfId="0" applyNumberFormat="1" applyFont="1" applyFill="1" applyBorder="1" applyAlignment="1" applyProtection="1">
      <alignment horizontal="center"/>
      <protection locked="0"/>
    </xf>
    <xf numFmtId="3" fontId="107" fillId="10" borderId="6" xfId="0" applyNumberFormat="1" applyFont="1" applyFill="1" applyBorder="1" applyAlignment="1" applyProtection="1">
      <alignment horizontal="right"/>
      <protection locked="0"/>
    </xf>
    <xf numFmtId="0" fontId="110" fillId="10" borderId="0" xfId="0" applyFont="1" applyFill="1" applyAlignment="1">
      <alignment horizontal="left" vertical="center"/>
    </xf>
    <xf numFmtId="0" fontId="108" fillId="10" borderId="0" xfId="0" applyFont="1" applyFill="1"/>
    <xf numFmtId="0" fontId="113" fillId="10" borderId="0" xfId="0" applyFont="1" applyFill="1" applyAlignment="1">
      <alignment wrapText="1"/>
    </xf>
    <xf numFmtId="0" fontId="93" fillId="10" borderId="0" xfId="0" applyFont="1" applyFill="1" applyAlignment="1">
      <alignment horizontal="left" vertical="center"/>
    </xf>
    <xf numFmtId="0" fontId="114" fillId="10" borderId="0" xfId="0" applyFont="1" applyFill="1" applyAlignment="1">
      <alignment horizontal="left" vertical="center"/>
    </xf>
    <xf numFmtId="0" fontId="111" fillId="10" borderId="0" xfId="0" applyFont="1" applyFill="1" applyAlignment="1">
      <alignment horizontal="left" vertical="center"/>
    </xf>
    <xf numFmtId="0" fontId="113" fillId="10" borderId="0" xfId="0" applyFont="1" applyFill="1" applyAlignment="1">
      <alignment horizontal="left" vertical="center" wrapText="1"/>
    </xf>
    <xf numFmtId="0" fontId="17" fillId="10" borderId="0" xfId="0" applyFont="1" applyFill="1" applyAlignment="1">
      <alignment horizontal="right"/>
    </xf>
    <xf numFmtId="0" fontId="113" fillId="10" borderId="0" xfId="0" applyFont="1" applyFill="1" applyAlignment="1">
      <alignment horizontal="left" wrapText="1"/>
    </xf>
    <xf numFmtId="0" fontId="33" fillId="10" borderId="0" xfId="0" applyFont="1" applyFill="1" applyAlignment="1">
      <alignment horizontal="left"/>
    </xf>
    <xf numFmtId="177" fontId="31" fillId="9" borderId="6" xfId="108" applyNumberFormat="1" applyFont="1" applyFill="1" applyBorder="1"/>
    <xf numFmtId="0" fontId="60" fillId="6" borderId="0" xfId="0" applyFont="1" applyFill="1" applyAlignment="1">
      <alignment wrapText="1"/>
    </xf>
    <xf numFmtId="43" fontId="31" fillId="10" borderId="0" xfId="0" applyNumberFormat="1" applyFont="1" applyFill="1"/>
    <xf numFmtId="2" fontId="31" fillId="9" borderId="0" xfId="0" applyNumberFormat="1" applyFont="1" applyFill="1"/>
    <xf numFmtId="3" fontId="31" fillId="8" borderId="0" xfId="0" applyNumberFormat="1" applyFont="1" applyFill="1"/>
    <xf numFmtId="172" fontId="31" fillId="8" borderId="0" xfId="108" applyNumberFormat="1" applyFont="1" applyFill="1" applyBorder="1"/>
    <xf numFmtId="170" fontId="31" fillId="9" borderId="0" xfId="0" applyNumberFormat="1" applyFont="1" applyFill="1"/>
    <xf numFmtId="43" fontId="31" fillId="8" borderId="0" xfId="0" applyNumberFormat="1" applyFont="1" applyFill="1"/>
    <xf numFmtId="0" fontId="117" fillId="10" borderId="0" xfId="0" applyFont="1" applyFill="1" applyAlignment="1">
      <alignment horizontal="left" vertical="center"/>
    </xf>
    <xf numFmtId="0" fontId="20" fillId="10" borderId="0" xfId="0" applyFont="1" applyFill="1" applyAlignment="1">
      <alignment horizontal="left" vertical="center"/>
    </xf>
    <xf numFmtId="0" fontId="12" fillId="6" borderId="0" xfId="107" applyFill="1" applyBorder="1"/>
    <xf numFmtId="178" fontId="36" fillId="0" borderId="0" xfId="108" applyNumberFormat="1" applyFont="1" applyFill="1" applyBorder="1"/>
    <xf numFmtId="43" fontId="45" fillId="0" borderId="0" xfId="0" applyNumberFormat="1" applyFont="1"/>
    <xf numFmtId="1" fontId="31" fillId="8" borderId="6" xfId="0" applyNumberFormat="1" applyFont="1" applyFill="1" applyBorder="1"/>
    <xf numFmtId="1" fontId="31" fillId="10" borderId="0" xfId="0" applyNumberFormat="1" applyFont="1" applyFill="1"/>
    <xf numFmtId="1" fontId="47" fillId="10" borderId="0" xfId="0" applyNumberFormat="1" applyFont="1" applyFill="1" applyAlignment="1">
      <alignment vertical="center"/>
    </xf>
    <xf numFmtId="1" fontId="20" fillId="10" borderId="0" xfId="0" applyNumberFormat="1" applyFont="1" applyFill="1" applyAlignment="1">
      <alignment horizontal="center" vertical="center" wrapText="1"/>
    </xf>
    <xf numFmtId="0" fontId="56" fillId="10" borderId="0" xfId="0" applyFont="1" applyFill="1" applyAlignment="1">
      <alignment vertical="center"/>
    </xf>
    <xf numFmtId="2" fontId="31" fillId="10" borderId="0" xfId="0" applyNumberFormat="1" applyFont="1" applyFill="1" applyAlignment="1">
      <alignment vertical="center"/>
    </xf>
    <xf numFmtId="172" fontId="31" fillId="10" borderId="0" xfId="108" applyNumberFormat="1" applyFont="1" applyFill="1" applyAlignment="1">
      <alignment vertical="center"/>
    </xf>
    <xf numFmtId="43" fontId="31" fillId="10" borderId="0" xfId="0" applyNumberFormat="1" applyFont="1" applyFill="1" applyAlignment="1">
      <alignment vertical="center"/>
    </xf>
    <xf numFmtId="0" fontId="60" fillId="0" borderId="0" xfId="0" applyFont="1" applyAlignment="1">
      <alignment vertical="center" wrapText="1"/>
    </xf>
    <xf numFmtId="0" fontId="26" fillId="10" borderId="0" xfId="0" applyFont="1" applyFill="1" applyAlignment="1">
      <alignment horizontal="center" vertical="center"/>
    </xf>
    <xf numFmtId="0" fontId="32" fillId="10" borderId="0" xfId="0" applyFont="1" applyFill="1" applyAlignment="1">
      <alignment horizontal="right"/>
    </xf>
    <xf numFmtId="0" fontId="67" fillId="10" borderId="7" xfId="0" applyFont="1" applyFill="1" applyBorder="1" applyAlignment="1">
      <alignment horizontal="right" vertical="center" wrapText="1"/>
    </xf>
    <xf numFmtId="0" fontId="119" fillId="6" borderId="0" xfId="0" applyFont="1" applyFill="1"/>
    <xf numFmtId="0" fontId="53" fillId="10" borderId="6" xfId="0" applyFont="1" applyFill="1" applyBorder="1" applyAlignment="1">
      <alignment horizontal="left" vertical="center" wrapText="1"/>
    </xf>
    <xf numFmtId="0" fontId="53" fillId="17" borderId="6" xfId="0" applyFont="1" applyFill="1" applyBorder="1" applyAlignment="1">
      <alignment horizontal="left" vertical="center" wrapText="1"/>
    </xf>
    <xf numFmtId="0" fontId="17" fillId="17" borderId="25" xfId="0" applyFont="1" applyFill="1" applyBorder="1"/>
    <xf numFmtId="43" fontId="31" fillId="9" borderId="6" xfId="108" applyFont="1" applyFill="1" applyBorder="1" applyAlignment="1">
      <alignment horizontal="center"/>
    </xf>
    <xf numFmtId="3" fontId="107" fillId="10" borderId="0" xfId="0" applyNumberFormat="1" applyFont="1" applyFill="1" applyAlignment="1">
      <alignment horizontal="center"/>
    </xf>
    <xf numFmtId="3" fontId="121" fillId="10" borderId="0" xfId="0" applyNumberFormat="1" applyFont="1" applyFill="1" applyAlignment="1">
      <alignment horizontal="center"/>
    </xf>
    <xf numFmtId="3" fontId="122" fillId="10" borderId="0" xfId="0" applyNumberFormat="1" applyFont="1" applyFill="1" applyAlignment="1">
      <alignment horizontal="center"/>
    </xf>
    <xf numFmtId="0" fontId="53" fillId="10" borderId="0" xfId="0" applyFont="1" applyFill="1" applyAlignment="1">
      <alignment horizontal="left" vertical="top"/>
    </xf>
    <xf numFmtId="0" fontId="17" fillId="17" borderId="6" xfId="0" applyFont="1" applyFill="1" applyBorder="1" applyProtection="1">
      <protection locked="0"/>
    </xf>
    <xf numFmtId="0" fontId="22" fillId="10" borderId="6" xfId="0" applyFont="1" applyFill="1" applyBorder="1" applyAlignment="1" applyProtection="1">
      <alignment horizontal="center" wrapText="1"/>
      <protection locked="0"/>
    </xf>
    <xf numFmtId="0" fontId="31" fillId="10" borderId="6" xfId="0" applyFont="1" applyFill="1" applyBorder="1" applyProtection="1">
      <protection locked="0"/>
    </xf>
    <xf numFmtId="0" fontId="31" fillId="17" borderId="6" xfId="0" applyFont="1" applyFill="1" applyBorder="1" applyProtection="1">
      <protection locked="0"/>
    </xf>
    <xf numFmtId="173" fontId="31" fillId="17" borderId="6" xfId="0" applyNumberFormat="1" applyFont="1" applyFill="1" applyBorder="1" applyProtection="1">
      <protection locked="0"/>
    </xf>
    <xf numFmtId="0" fontId="22" fillId="17" borderId="6" xfId="0" applyFont="1" applyFill="1" applyBorder="1" applyAlignment="1" applyProtection="1">
      <alignment horizontal="center" vertical="center"/>
      <protection locked="0"/>
    </xf>
    <xf numFmtId="0" fontId="53" fillId="10" borderId="0" xfId="0" applyFont="1" applyFill="1" applyAlignment="1" applyProtection="1">
      <alignment horizontal="left" vertical="center"/>
      <protection locked="0"/>
    </xf>
    <xf numFmtId="0" fontId="31" fillId="17" borderId="6" xfId="0" applyFont="1" applyFill="1" applyBorder="1" applyAlignment="1" applyProtection="1">
      <alignment horizontal="right"/>
      <protection locked="0"/>
    </xf>
    <xf numFmtId="0" fontId="31" fillId="17" borderId="6" xfId="0" applyFont="1" applyFill="1" applyBorder="1" applyAlignment="1" applyProtection="1">
      <alignment wrapText="1"/>
      <protection locked="0"/>
    </xf>
    <xf numFmtId="179" fontId="36" fillId="0" borderId="0" xfId="108" applyNumberFormat="1" applyFont="1" applyFill="1" applyBorder="1"/>
    <xf numFmtId="3" fontId="33" fillId="17" borderId="6" xfId="0" applyNumberFormat="1" applyFont="1" applyFill="1" applyBorder="1" applyAlignment="1" applyProtection="1">
      <alignment horizontal="right" vertical="center" wrapText="1"/>
      <protection locked="0"/>
    </xf>
    <xf numFmtId="176" fontId="100" fillId="0" borderId="0" xfId="108" applyNumberFormat="1" applyFont="1" applyFill="1"/>
    <xf numFmtId="178" fontId="100" fillId="0" borderId="0" xfId="0" applyNumberFormat="1" applyFont="1"/>
    <xf numFmtId="4" fontId="32" fillId="10" borderId="0" xfId="0" applyNumberFormat="1" applyFont="1" applyFill="1"/>
    <xf numFmtId="0" fontId="31" fillId="6" borderId="26" xfId="0" applyFont="1" applyFill="1" applyBorder="1" applyAlignment="1">
      <alignment horizontal="center"/>
    </xf>
    <xf numFmtId="0" fontId="31" fillId="6" borderId="28" xfId="0" applyFont="1" applyFill="1" applyBorder="1" applyAlignment="1">
      <alignment horizontal="center"/>
    </xf>
    <xf numFmtId="0" fontId="31" fillId="6" borderId="27" xfId="0" applyFont="1" applyFill="1" applyBorder="1" applyAlignment="1">
      <alignment horizontal="center"/>
    </xf>
    <xf numFmtId="0" fontId="52" fillId="10" borderId="0" xfId="107" applyFont="1" applyFill="1" applyAlignment="1">
      <alignment horizontal="center"/>
    </xf>
    <xf numFmtId="0" fontId="53" fillId="10" borderId="0" xfId="0" applyFont="1" applyFill="1" applyAlignment="1">
      <alignment horizontal="left" vertical="top" wrapText="1"/>
    </xf>
    <xf numFmtId="0" fontId="83" fillId="10" borderId="0" xfId="0" applyFont="1" applyFill="1" applyAlignment="1">
      <alignment horizontal="left"/>
    </xf>
    <xf numFmtId="0" fontId="53" fillId="10" borderId="0" xfId="0" applyFont="1" applyFill="1" applyAlignment="1">
      <alignment horizontal="left" vertical="center" wrapText="1"/>
    </xf>
    <xf numFmtId="0" fontId="17" fillId="10" borderId="0" xfId="0" applyFont="1" applyFill="1" applyAlignment="1">
      <alignment horizontal="left" vertical="top" wrapText="1"/>
    </xf>
    <xf numFmtId="0" fontId="29" fillId="10" borderId="0" xfId="0" applyFont="1" applyFill="1" applyAlignment="1">
      <alignment horizontal="left" vertical="center"/>
    </xf>
    <xf numFmtId="0" fontId="21" fillId="17" borderId="10" xfId="0" applyFont="1" applyFill="1" applyBorder="1" applyAlignment="1" applyProtection="1">
      <alignment horizontal="left" vertical="center" wrapText="1"/>
      <protection locked="0"/>
    </xf>
    <xf numFmtId="0" fontId="21" fillId="17" borderId="7" xfId="0" applyFont="1" applyFill="1" applyBorder="1" applyAlignment="1" applyProtection="1">
      <alignment horizontal="left" vertical="center" wrapText="1"/>
      <protection locked="0"/>
    </xf>
    <xf numFmtId="0" fontId="21" fillId="17" borderId="11" xfId="0" applyFont="1" applyFill="1" applyBorder="1" applyAlignment="1" applyProtection="1">
      <alignment horizontal="left" vertical="center" wrapText="1"/>
      <protection locked="0"/>
    </xf>
    <xf numFmtId="0" fontId="21" fillId="17" borderId="12" xfId="0" applyFont="1" applyFill="1" applyBorder="1" applyAlignment="1" applyProtection="1">
      <alignment horizontal="left" vertical="center" wrapText="1"/>
      <protection locked="0"/>
    </xf>
    <xf numFmtId="0" fontId="21" fillId="17" borderId="0" xfId="0" applyFont="1" applyFill="1" applyAlignment="1" applyProtection="1">
      <alignment horizontal="left" vertical="center" wrapText="1"/>
      <protection locked="0"/>
    </xf>
    <xf numFmtId="0" fontId="21" fillId="17" borderId="13" xfId="0" applyFont="1" applyFill="1" applyBorder="1" applyAlignment="1" applyProtection="1">
      <alignment horizontal="left" vertical="center" wrapText="1"/>
      <protection locked="0"/>
    </xf>
    <xf numFmtId="0" fontId="21" fillId="17" borderId="14" xfId="0" applyFont="1" applyFill="1" applyBorder="1" applyAlignment="1" applyProtection="1">
      <alignment horizontal="left" vertical="center" wrapText="1"/>
      <protection locked="0"/>
    </xf>
    <xf numFmtId="0" fontId="21" fillId="17" borderId="5" xfId="0" applyFont="1" applyFill="1" applyBorder="1" applyAlignment="1" applyProtection="1">
      <alignment horizontal="left" vertical="center" wrapText="1"/>
      <protection locked="0"/>
    </xf>
    <xf numFmtId="0" fontId="21" fillId="17" borderId="15" xfId="0" applyFont="1" applyFill="1" applyBorder="1" applyAlignment="1" applyProtection="1">
      <alignment horizontal="left" vertical="center" wrapText="1"/>
      <protection locked="0"/>
    </xf>
    <xf numFmtId="0" fontId="57" fillId="12" borderId="0" xfId="0" applyFont="1" applyFill="1"/>
    <xf numFmtId="0" fontId="20" fillId="17" borderId="8" xfId="0" applyFont="1" applyFill="1" applyBorder="1" applyAlignment="1" applyProtection="1">
      <alignment vertical="top"/>
      <protection locked="0"/>
    </xf>
    <xf numFmtId="0" fontId="20" fillId="17" borderId="16" xfId="0" applyFont="1" applyFill="1" applyBorder="1" applyAlignment="1" applyProtection="1">
      <alignment vertical="top"/>
      <protection locked="0"/>
    </xf>
    <xf numFmtId="0" fontId="20" fillId="17" borderId="9" xfId="0" applyFont="1" applyFill="1" applyBorder="1" applyAlignment="1" applyProtection="1">
      <alignment vertical="top"/>
      <protection locked="0"/>
    </xf>
    <xf numFmtId="0" fontId="20" fillId="10" borderId="0" xfId="0" applyFont="1" applyFill="1" applyAlignment="1">
      <alignment horizontal="center" wrapText="1"/>
    </xf>
    <xf numFmtId="0" fontId="56" fillId="10" borderId="0" xfId="0" applyFont="1" applyFill="1" applyAlignment="1">
      <alignment horizontal="left" vertical="center"/>
    </xf>
    <xf numFmtId="0" fontId="31" fillId="10" borderId="0" xfId="0" applyFont="1" applyFill="1" applyAlignment="1">
      <alignment horizontal="left" vertical="center" wrapText="1"/>
    </xf>
    <xf numFmtId="0" fontId="22" fillId="10" borderId="0" xfId="0" applyFont="1" applyFill="1" applyAlignment="1">
      <alignment horizontal="left" vertical="center"/>
    </xf>
    <xf numFmtId="0" fontId="57" fillId="12" borderId="0" xfId="0" applyFont="1" applyFill="1" applyAlignment="1">
      <alignment horizontal="left"/>
    </xf>
    <xf numFmtId="0" fontId="31" fillId="10" borderId="0" xfId="0" applyFont="1" applyFill="1" applyAlignment="1">
      <alignment horizontal="left"/>
    </xf>
    <xf numFmtId="0" fontId="31" fillId="10" borderId="13" xfId="0" applyFont="1" applyFill="1" applyBorder="1" applyAlignment="1">
      <alignment horizontal="left"/>
    </xf>
    <xf numFmtId="0" fontId="31" fillId="17" borderId="8" xfId="0" applyFont="1" applyFill="1" applyBorder="1" applyAlignment="1" applyProtection="1">
      <alignment horizontal="center"/>
      <protection locked="0"/>
    </xf>
    <xf numFmtId="0" fontId="31" fillId="17" borderId="16" xfId="0" applyFont="1" applyFill="1" applyBorder="1" applyAlignment="1" applyProtection="1">
      <alignment horizontal="center"/>
      <protection locked="0"/>
    </xf>
    <xf numFmtId="0" fontId="31" fillId="17" borderId="9" xfId="0" applyFont="1" applyFill="1" applyBorder="1" applyAlignment="1" applyProtection="1">
      <alignment horizontal="center"/>
      <protection locked="0"/>
    </xf>
    <xf numFmtId="0" fontId="31" fillId="10" borderId="0" xfId="0" applyFont="1" applyFill="1" applyAlignment="1">
      <alignment horizontal="left" wrapText="1"/>
    </xf>
    <xf numFmtId="0" fontId="31" fillId="10" borderId="13" xfId="0" applyFont="1" applyFill="1" applyBorder="1" applyAlignment="1">
      <alignment horizontal="left" wrapText="1"/>
    </xf>
    <xf numFmtId="0" fontId="31" fillId="10" borderId="0" xfId="0" applyFont="1" applyFill="1" applyAlignment="1">
      <alignment wrapText="1"/>
    </xf>
    <xf numFmtId="0" fontId="31" fillId="10" borderId="13" xfId="0" applyFont="1" applyFill="1" applyBorder="1" applyAlignment="1">
      <alignment wrapText="1"/>
    </xf>
    <xf numFmtId="0" fontId="59" fillId="17" borderId="10" xfId="0" applyFont="1" applyFill="1" applyBorder="1" applyAlignment="1" applyProtection="1">
      <alignment horizontal="center" vertical="top" wrapText="1"/>
      <protection locked="0"/>
    </xf>
    <xf numFmtId="0" fontId="59" fillId="17" borderId="7" xfId="0" applyFont="1" applyFill="1" applyBorder="1" applyAlignment="1" applyProtection="1">
      <alignment horizontal="center" vertical="top" wrapText="1"/>
      <protection locked="0"/>
    </xf>
    <xf numFmtId="0" fontId="59" fillId="17" borderId="11" xfId="0" applyFont="1" applyFill="1" applyBorder="1" applyAlignment="1" applyProtection="1">
      <alignment horizontal="center" vertical="top" wrapText="1"/>
      <protection locked="0"/>
    </xf>
    <xf numFmtId="0" fontId="59" fillId="17" borderId="12" xfId="0" applyFont="1" applyFill="1" applyBorder="1" applyAlignment="1" applyProtection="1">
      <alignment horizontal="center" vertical="top" wrapText="1"/>
      <protection locked="0"/>
    </xf>
    <xf numFmtId="0" fontId="59" fillId="17" borderId="0" xfId="0" applyFont="1" applyFill="1" applyAlignment="1" applyProtection="1">
      <alignment horizontal="center" vertical="top" wrapText="1"/>
      <protection locked="0"/>
    </xf>
    <xf numFmtId="0" fontId="59" fillId="17" borderId="13" xfId="0" applyFont="1" applyFill="1" applyBorder="1" applyAlignment="1" applyProtection="1">
      <alignment horizontal="center" vertical="top" wrapText="1"/>
      <protection locked="0"/>
    </xf>
    <xf numFmtId="0" fontId="59" fillId="17" borderId="14" xfId="0" applyFont="1" applyFill="1" applyBorder="1" applyAlignment="1" applyProtection="1">
      <alignment horizontal="center" vertical="top" wrapText="1"/>
      <protection locked="0"/>
    </xf>
    <xf numFmtId="0" fontId="59" fillId="17" borderId="5" xfId="0" applyFont="1" applyFill="1" applyBorder="1" applyAlignment="1" applyProtection="1">
      <alignment horizontal="center" vertical="top" wrapText="1"/>
      <protection locked="0"/>
    </xf>
    <xf numFmtId="0" fontId="59" fillId="17" borderId="15" xfId="0" applyFont="1" applyFill="1" applyBorder="1" applyAlignment="1" applyProtection="1">
      <alignment horizontal="center" vertical="top" wrapText="1"/>
      <protection locked="0"/>
    </xf>
    <xf numFmtId="0" fontId="83" fillId="10" borderId="0" xfId="0" applyFont="1" applyFill="1" applyAlignment="1">
      <alignment horizontal="left" vertical="center" wrapText="1"/>
    </xf>
    <xf numFmtId="0" fontId="106" fillId="10" borderId="0" xfId="0" applyFont="1" applyFill="1" applyAlignment="1">
      <alignment vertical="center" wrapText="1"/>
    </xf>
    <xf numFmtId="0" fontId="22" fillId="10" borderId="0" xfId="0" applyFont="1" applyFill="1" applyAlignment="1">
      <alignment horizontal="left"/>
    </xf>
    <xf numFmtId="0" fontId="31" fillId="17" borderId="10" xfId="0" applyFont="1" applyFill="1" applyBorder="1" applyAlignment="1" applyProtection="1">
      <alignment horizontal="left" vertical="top" wrapText="1"/>
      <protection locked="0"/>
    </xf>
    <xf numFmtId="0" fontId="31" fillId="17" borderId="7" xfId="0" applyFont="1" applyFill="1" applyBorder="1" applyAlignment="1" applyProtection="1">
      <alignment horizontal="left" vertical="top" wrapText="1"/>
      <protection locked="0"/>
    </xf>
    <xf numFmtId="0" fontId="31" fillId="17" borderId="11" xfId="0" applyFont="1" applyFill="1" applyBorder="1" applyAlignment="1" applyProtection="1">
      <alignment horizontal="left" vertical="top" wrapText="1"/>
      <protection locked="0"/>
    </xf>
    <xf numFmtId="0" fontId="31" fillId="17" borderId="12" xfId="0" applyFont="1" applyFill="1" applyBorder="1" applyAlignment="1" applyProtection="1">
      <alignment horizontal="left" vertical="top" wrapText="1"/>
      <protection locked="0"/>
    </xf>
    <xf numFmtId="0" fontId="31" fillId="17" borderId="0" xfId="0" applyFont="1" applyFill="1" applyAlignment="1" applyProtection="1">
      <alignment horizontal="left" vertical="top" wrapText="1"/>
      <protection locked="0"/>
    </xf>
    <xf numFmtId="0" fontId="31" fillId="17" borderId="13" xfId="0" applyFont="1" applyFill="1" applyBorder="1" applyAlignment="1" applyProtection="1">
      <alignment horizontal="left" vertical="top" wrapText="1"/>
      <protection locked="0"/>
    </xf>
    <xf numFmtId="0" fontId="31" fillId="17" borderId="14" xfId="0" applyFont="1" applyFill="1" applyBorder="1" applyAlignment="1" applyProtection="1">
      <alignment horizontal="left" vertical="top" wrapText="1"/>
      <protection locked="0"/>
    </xf>
    <xf numFmtId="0" fontId="31" fillId="17" borderId="5" xfId="0" applyFont="1" applyFill="1" applyBorder="1" applyAlignment="1" applyProtection="1">
      <alignment horizontal="left" vertical="top" wrapText="1"/>
      <protection locked="0"/>
    </xf>
    <xf numFmtId="0" fontId="31" fillId="17" borderId="15" xfId="0" applyFont="1" applyFill="1" applyBorder="1" applyAlignment="1" applyProtection="1">
      <alignment horizontal="left" vertical="top" wrapText="1"/>
      <protection locked="0"/>
    </xf>
    <xf numFmtId="1" fontId="31" fillId="17" borderId="8" xfId="106" applyNumberFormat="1" applyFont="1" applyFill="1" applyBorder="1" applyAlignment="1" applyProtection="1">
      <alignment horizontal="center" vertical="center"/>
      <protection locked="0"/>
    </xf>
    <xf numFmtId="1" fontId="31" fillId="17" borderId="9" xfId="106" applyNumberFormat="1" applyFont="1" applyFill="1" applyBorder="1" applyAlignment="1" applyProtection="1">
      <alignment horizontal="center" vertical="center"/>
      <protection locked="0"/>
    </xf>
    <xf numFmtId="3" fontId="31" fillId="17" borderId="8" xfId="0" applyNumberFormat="1" applyFont="1" applyFill="1" applyBorder="1" applyAlignment="1" applyProtection="1">
      <alignment horizontal="center" vertical="center"/>
      <protection locked="0"/>
    </xf>
    <xf numFmtId="3" fontId="31" fillId="17" borderId="9" xfId="0" applyNumberFormat="1" applyFont="1" applyFill="1" applyBorder="1" applyAlignment="1" applyProtection="1">
      <alignment horizontal="center" vertical="center"/>
      <protection locked="0"/>
    </xf>
    <xf numFmtId="3" fontId="31" fillId="17" borderId="16" xfId="0" applyNumberFormat="1" applyFont="1" applyFill="1" applyBorder="1" applyAlignment="1" applyProtection="1">
      <alignment horizontal="center" vertical="center"/>
      <protection locked="0"/>
    </xf>
    <xf numFmtId="169" fontId="31" fillId="17" borderId="8" xfId="0" applyNumberFormat="1" applyFont="1" applyFill="1" applyBorder="1" applyAlignment="1" applyProtection="1">
      <alignment horizontal="center" vertical="center"/>
      <protection locked="0"/>
    </xf>
    <xf numFmtId="169" fontId="31" fillId="17" borderId="16" xfId="0" applyNumberFormat="1" applyFont="1" applyFill="1" applyBorder="1" applyAlignment="1" applyProtection="1">
      <alignment horizontal="center" vertical="center"/>
      <protection locked="0"/>
    </xf>
    <xf numFmtId="169" fontId="31" fillId="17" borderId="9" xfId="0" applyNumberFormat="1" applyFont="1" applyFill="1" applyBorder="1" applyAlignment="1" applyProtection="1">
      <alignment horizontal="center" vertical="center"/>
      <protection locked="0"/>
    </xf>
    <xf numFmtId="0" fontId="31" fillId="10" borderId="0" xfId="0" applyFont="1" applyFill="1" applyAlignment="1">
      <alignment horizontal="center" vertical="center" wrapText="1"/>
    </xf>
    <xf numFmtId="0" fontId="31" fillId="10" borderId="13" xfId="0" applyFont="1" applyFill="1" applyBorder="1" applyAlignment="1">
      <alignment horizontal="center" vertical="center" wrapText="1"/>
    </xf>
    <xf numFmtId="0" fontId="22" fillId="10" borderId="0" xfId="0" applyFont="1" applyFill="1" applyAlignment="1">
      <alignment horizontal="left" wrapText="1"/>
    </xf>
    <xf numFmtId="0" fontId="22" fillId="10" borderId="0" xfId="0" applyFont="1" applyFill="1" applyAlignment="1">
      <alignment horizontal="left" vertical="top" wrapText="1"/>
    </xf>
    <xf numFmtId="0" fontId="41" fillId="10" borderId="0" xfId="0" applyFont="1" applyFill="1" applyAlignment="1">
      <alignment horizontal="left" vertical="center" wrapText="1"/>
    </xf>
    <xf numFmtId="0" fontId="41" fillId="10" borderId="0" xfId="0" applyFont="1" applyFill="1" applyAlignment="1">
      <alignment horizontal="center" wrapText="1"/>
    </xf>
    <xf numFmtId="0" fontId="33" fillId="10" borderId="0" xfId="0" applyFont="1" applyFill="1" applyAlignment="1">
      <alignment horizontal="left" vertical="center" wrapText="1"/>
    </xf>
    <xf numFmtId="0" fontId="41" fillId="10" borderId="5" xfId="0" applyFont="1" applyFill="1" applyBorder="1" applyAlignment="1">
      <alignment horizontal="center" wrapText="1"/>
    </xf>
    <xf numFmtId="0" fontId="20" fillId="10" borderId="5" xfId="0" applyFont="1" applyFill="1" applyBorder="1" applyAlignment="1">
      <alignment horizontal="center" vertical="center" wrapText="1"/>
    </xf>
    <xf numFmtId="0" fontId="57" fillId="12" borderId="5" xfId="0" applyFont="1" applyFill="1" applyBorder="1" applyAlignment="1">
      <alignment horizontal="left"/>
    </xf>
    <xf numFmtId="0" fontId="59" fillId="17" borderId="10" xfId="0" applyFont="1" applyFill="1" applyBorder="1" applyAlignment="1" applyProtection="1">
      <alignment horizontal="left" vertical="top" wrapText="1"/>
      <protection locked="0"/>
    </xf>
    <xf numFmtId="0" fontId="59" fillId="17" borderId="7" xfId="0" applyFont="1" applyFill="1" applyBorder="1" applyAlignment="1" applyProtection="1">
      <alignment horizontal="left" vertical="top" wrapText="1"/>
      <protection locked="0"/>
    </xf>
    <xf numFmtId="0" fontId="59" fillId="17" borderId="11" xfId="0" applyFont="1" applyFill="1" applyBorder="1" applyAlignment="1" applyProtection="1">
      <alignment horizontal="left" vertical="top" wrapText="1"/>
      <protection locked="0"/>
    </xf>
    <xf numFmtId="0" fontId="59" fillId="17" borderId="12" xfId="0" applyFont="1" applyFill="1" applyBorder="1" applyAlignment="1" applyProtection="1">
      <alignment horizontal="left" vertical="top" wrapText="1"/>
      <protection locked="0"/>
    </xf>
    <xf numFmtId="0" fontId="59" fillId="17" borderId="0" xfId="0" applyFont="1" applyFill="1" applyAlignment="1" applyProtection="1">
      <alignment horizontal="left" vertical="top" wrapText="1"/>
      <protection locked="0"/>
    </xf>
    <xf numFmtId="0" fontId="59" fillId="17" borderId="13" xfId="0" applyFont="1" applyFill="1" applyBorder="1" applyAlignment="1" applyProtection="1">
      <alignment horizontal="left" vertical="top" wrapText="1"/>
      <protection locked="0"/>
    </xf>
    <xf numFmtId="0" fontId="59" fillId="17" borderId="14" xfId="0" applyFont="1" applyFill="1" applyBorder="1" applyAlignment="1" applyProtection="1">
      <alignment horizontal="left" vertical="top" wrapText="1"/>
      <protection locked="0"/>
    </xf>
    <xf numFmtId="0" fontId="59" fillId="17" borderId="5" xfId="0" applyFont="1" applyFill="1" applyBorder="1" applyAlignment="1" applyProtection="1">
      <alignment horizontal="left" vertical="top" wrapText="1"/>
      <protection locked="0"/>
    </xf>
    <xf numFmtId="0" fontId="59" fillId="17" borderId="15" xfId="0" applyFont="1" applyFill="1" applyBorder="1" applyAlignment="1" applyProtection="1">
      <alignment horizontal="left" vertical="top" wrapText="1"/>
      <protection locked="0"/>
    </xf>
    <xf numFmtId="0" fontId="22" fillId="10" borderId="0" xfId="0" applyFont="1" applyFill="1" applyAlignment="1">
      <alignment horizontal="left" vertical="center" wrapText="1"/>
    </xf>
    <xf numFmtId="0" fontId="36" fillId="10" borderId="0" xfId="0" applyFont="1" applyFill="1" applyAlignment="1">
      <alignment horizontal="left" vertical="center" wrapText="1"/>
    </xf>
    <xf numFmtId="0" fontId="22" fillId="10" borderId="0" xfId="0" applyFont="1" applyFill="1" applyAlignment="1">
      <alignment vertical="center" wrapText="1"/>
    </xf>
    <xf numFmtId="0" fontId="33" fillId="10" borderId="0" xfId="0" applyFont="1" applyFill="1" applyAlignment="1">
      <alignment vertical="center" wrapText="1"/>
    </xf>
    <xf numFmtId="0" fontId="20" fillId="10" borderId="0" xfId="0" applyFont="1" applyFill="1" applyAlignment="1">
      <alignment horizontal="left" wrapText="1"/>
    </xf>
    <xf numFmtId="0" fontId="57" fillId="14" borderId="0" xfId="0" applyFont="1" applyFill="1" applyAlignment="1">
      <alignment horizontal="left"/>
    </xf>
    <xf numFmtId="0" fontId="55" fillId="10" borderId="0" xfId="0" applyFont="1" applyFill="1" applyAlignment="1">
      <alignment horizontal="left" vertical="center" wrapText="1"/>
    </xf>
    <xf numFmtId="0" fontId="59" fillId="17" borderId="8" xfId="0" applyFont="1" applyFill="1" applyBorder="1" applyAlignment="1" applyProtection="1">
      <alignment horizontal="center"/>
      <protection locked="0"/>
    </xf>
    <xf numFmtId="0" fontId="59" fillId="17" borderId="16" xfId="0" applyFont="1" applyFill="1" applyBorder="1" applyAlignment="1" applyProtection="1">
      <alignment horizontal="center"/>
      <protection locked="0"/>
    </xf>
    <xf numFmtId="0" fontId="59" fillId="17" borderId="9" xfId="0" applyFont="1" applyFill="1" applyBorder="1" applyAlignment="1" applyProtection="1">
      <alignment horizontal="center"/>
      <protection locked="0"/>
    </xf>
    <xf numFmtId="0" fontId="67" fillId="10" borderId="0" xfId="0" applyFont="1" applyFill="1" applyAlignment="1">
      <alignment horizontal="left" wrapText="1"/>
    </xf>
    <xf numFmtId="0" fontId="67" fillId="10" borderId="13" xfId="0" applyFont="1" applyFill="1" applyBorder="1" applyAlignment="1">
      <alignment horizontal="left" wrapText="1"/>
    </xf>
    <xf numFmtId="0" fontId="32" fillId="10" borderId="0" xfId="0" applyFont="1" applyFill="1" applyAlignment="1">
      <alignment horizontal="center" vertical="center" wrapText="1"/>
    </xf>
    <xf numFmtId="0" fontId="22" fillId="10" borderId="0" xfId="0" applyFont="1" applyFill="1" applyAlignment="1">
      <alignment wrapText="1"/>
    </xf>
    <xf numFmtId="0" fontId="22" fillId="10" borderId="21" xfId="0" applyFont="1" applyFill="1" applyBorder="1" applyAlignment="1">
      <alignment wrapText="1"/>
    </xf>
    <xf numFmtId="0" fontId="47" fillId="10" borderId="0" xfId="0" applyFont="1" applyFill="1" applyAlignment="1">
      <alignment wrapText="1"/>
    </xf>
    <xf numFmtId="0" fontId="20" fillId="10" borderId="0" xfId="0" applyFont="1" applyFill="1" applyAlignment="1">
      <alignment horizontal="left" vertical="center" wrapText="1"/>
    </xf>
    <xf numFmtId="0" fontId="47" fillId="10" borderId="0" xfId="0" applyFont="1" applyFill="1" applyAlignment="1">
      <alignment horizontal="left" vertical="center" wrapText="1"/>
    </xf>
    <xf numFmtId="0" fontId="21" fillId="10" borderId="0" xfId="0" applyFont="1" applyFill="1" applyAlignment="1">
      <alignment horizontal="left" vertical="center" wrapText="1"/>
    </xf>
    <xf numFmtId="0" fontId="31" fillId="10" borderId="0" xfId="0" applyFont="1" applyFill="1" applyAlignment="1">
      <alignment vertical="center" wrapText="1"/>
    </xf>
    <xf numFmtId="0" fontId="57" fillId="15" borderId="5" xfId="0" applyFont="1" applyFill="1" applyBorder="1"/>
    <xf numFmtId="0" fontId="57" fillId="15" borderId="0" xfId="0" applyFont="1" applyFill="1"/>
    <xf numFmtId="0" fontId="31" fillId="10" borderId="0" xfId="0" applyFont="1" applyFill="1" applyAlignment="1">
      <alignment vertical="top" wrapText="1"/>
    </xf>
    <xf numFmtId="0" fontId="41" fillId="10" borderId="0" xfId="0" applyFont="1" applyFill="1" applyAlignment="1">
      <alignment horizontal="left" wrapText="1"/>
    </xf>
    <xf numFmtId="0" fontId="57" fillId="15" borderId="0" xfId="0" applyFont="1" applyFill="1" applyAlignment="1">
      <alignment horizontal="left"/>
    </xf>
    <xf numFmtId="0" fontId="17" fillId="10" borderId="0" xfId="0" applyFont="1" applyFill="1" applyAlignment="1">
      <alignment horizontal="center"/>
    </xf>
    <xf numFmtId="0" fontId="31" fillId="10" borderId="0" xfId="0" applyFont="1" applyFill="1" applyAlignment="1">
      <alignment horizontal="left" vertical="top" wrapText="1"/>
    </xf>
    <xf numFmtId="0" fontId="102" fillId="15" borderId="0" xfId="0" applyFont="1" applyFill="1" applyAlignment="1">
      <alignment horizontal="left"/>
    </xf>
    <xf numFmtId="0" fontId="21" fillId="17" borderId="10" xfId="0" applyFont="1" applyFill="1" applyBorder="1" applyAlignment="1" applyProtection="1">
      <alignment horizontal="left" vertical="top" wrapText="1"/>
      <protection locked="0"/>
    </xf>
    <xf numFmtId="0" fontId="21" fillId="17" borderId="7" xfId="0" applyFont="1" applyFill="1" applyBorder="1" applyAlignment="1" applyProtection="1">
      <alignment horizontal="left" vertical="top" wrapText="1"/>
      <protection locked="0"/>
    </xf>
    <xf numFmtId="0" fontId="21" fillId="17" borderId="11" xfId="0" applyFont="1" applyFill="1" applyBorder="1" applyAlignment="1" applyProtection="1">
      <alignment horizontal="left" vertical="top" wrapText="1"/>
      <protection locked="0"/>
    </xf>
    <xf numFmtId="0" fontId="21" fillId="17" borderId="12" xfId="0" applyFont="1" applyFill="1" applyBorder="1" applyAlignment="1" applyProtection="1">
      <alignment horizontal="left" vertical="top" wrapText="1"/>
      <protection locked="0"/>
    </xf>
    <xf numFmtId="0" fontId="21" fillId="17" borderId="0" xfId="0" applyFont="1" applyFill="1" applyAlignment="1" applyProtection="1">
      <alignment horizontal="left" vertical="top" wrapText="1"/>
      <protection locked="0"/>
    </xf>
    <xf numFmtId="0" fontId="21" fillId="17" borderId="13" xfId="0" applyFont="1" applyFill="1" applyBorder="1" applyAlignment="1" applyProtection="1">
      <alignment horizontal="left" vertical="top" wrapText="1"/>
      <protection locked="0"/>
    </xf>
    <xf numFmtId="0" fontId="21" fillId="17" borderId="14" xfId="0" applyFont="1" applyFill="1" applyBorder="1" applyAlignment="1" applyProtection="1">
      <alignment horizontal="left" vertical="top" wrapText="1"/>
      <protection locked="0"/>
    </xf>
    <xf numFmtId="0" fontId="21" fillId="17" borderId="5" xfId="0" applyFont="1" applyFill="1" applyBorder="1" applyAlignment="1" applyProtection="1">
      <alignment horizontal="left" vertical="top" wrapText="1"/>
      <protection locked="0"/>
    </xf>
    <xf numFmtId="0" fontId="21" fillId="17" borderId="15" xfId="0" applyFont="1" applyFill="1" applyBorder="1" applyAlignment="1" applyProtection="1">
      <alignment horizontal="left" vertical="top" wrapText="1"/>
      <protection locked="0"/>
    </xf>
    <xf numFmtId="0" fontId="84" fillId="10" borderId="0" xfId="0" applyFont="1" applyFill="1" applyAlignment="1">
      <alignment horizontal="left" vertical="center" wrapText="1"/>
    </xf>
    <xf numFmtId="0" fontId="53" fillId="10" borderId="0" xfId="0" applyFont="1" applyFill="1" applyAlignment="1">
      <alignment horizontal="left"/>
    </xf>
  </cellXfs>
  <cellStyles count="111">
    <cellStyle name="Comma" xfId="108" builtinId="3"/>
    <cellStyle name="Comma 2 2" xfId="1" xr:uid="{00000000-0005-0000-0000-000001000000}"/>
    <cellStyle name="Comma 3 2" xfId="2" xr:uid="{00000000-0005-0000-0000-000002000000}"/>
    <cellStyle name="Comma 4 2" xfId="3" xr:uid="{00000000-0005-0000-0000-000003000000}"/>
    <cellStyle name="Comma 5 2" xfId="4" xr:uid="{00000000-0005-0000-0000-000004000000}"/>
    <cellStyle name="Comma 6" xfId="5" xr:uid="{00000000-0005-0000-0000-000005000000}"/>
    <cellStyle name="Currency 2" xfId="6" xr:uid="{00000000-0005-0000-0000-000006000000}"/>
    <cellStyle name="Currency 2 2" xfId="7" xr:uid="{00000000-0005-0000-0000-000007000000}"/>
    <cellStyle name="Currency 2 3" xfId="8" xr:uid="{00000000-0005-0000-0000-000008000000}"/>
    <cellStyle name="Currency 3" xfId="9" xr:uid="{00000000-0005-0000-0000-000009000000}"/>
    <cellStyle name="Currency 4" xfId="10" xr:uid="{00000000-0005-0000-0000-00000A000000}"/>
    <cellStyle name="Currency 4 2" xfId="11" xr:uid="{00000000-0005-0000-0000-00000B000000}"/>
    <cellStyle name="Currency 5" xfId="12" xr:uid="{00000000-0005-0000-0000-00000C000000}"/>
    <cellStyle name="Currency 5 2" xfId="13" xr:uid="{00000000-0005-0000-0000-00000D000000}"/>
    <cellStyle name="Currency 5 2 2" xfId="14" xr:uid="{00000000-0005-0000-0000-00000E000000}"/>
    <cellStyle name="Currency 6" xfId="15" xr:uid="{00000000-0005-0000-0000-00000F000000}"/>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9" builtinId="9" hidden="1"/>
    <cellStyle name="Followed Hyperlink" xfId="110" builtinId="9" hidden="1"/>
    <cellStyle name="Good 2" xfId="16" xr:uid="{00000000-0005-0000-0000-000032000000}"/>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7" builtinId="8"/>
    <cellStyle name="Hyperlink 2" xfId="17" xr:uid="{00000000-0005-0000-0000-000053000000}"/>
    <cellStyle name="Hyperlink 2 2" xfId="18" xr:uid="{00000000-0005-0000-0000-000054000000}"/>
    <cellStyle name="Neutral" xfId="105" builtinId="28"/>
    <cellStyle name="Normal" xfId="0" builtinId="0"/>
    <cellStyle name="Normal 10" xfId="19" xr:uid="{00000000-0005-0000-0000-000057000000}"/>
    <cellStyle name="Normal 10 2" xfId="20" xr:uid="{00000000-0005-0000-0000-000058000000}"/>
    <cellStyle name="Normal 12" xfId="21" xr:uid="{00000000-0005-0000-0000-000059000000}"/>
    <cellStyle name="Normal 13" xfId="22" xr:uid="{00000000-0005-0000-0000-00005A000000}"/>
    <cellStyle name="Normal 2" xfId="23" xr:uid="{00000000-0005-0000-0000-00005B000000}"/>
    <cellStyle name="Normal 3 2" xfId="24" xr:uid="{00000000-0005-0000-0000-00005C000000}"/>
    <cellStyle name="Normal 4" xfId="25" xr:uid="{00000000-0005-0000-0000-00005D000000}"/>
    <cellStyle name="Normal 5" xfId="26" xr:uid="{00000000-0005-0000-0000-00005E000000}"/>
    <cellStyle name="Normal 6" xfId="27" xr:uid="{00000000-0005-0000-0000-00005F000000}"/>
    <cellStyle name="Normal 7" xfId="28" xr:uid="{00000000-0005-0000-0000-000060000000}"/>
    <cellStyle name="Normal 8" xfId="29" xr:uid="{00000000-0005-0000-0000-000061000000}"/>
    <cellStyle name="Percent" xfId="106" builtinId="5"/>
    <cellStyle name="Percent 2" xfId="30" xr:uid="{00000000-0005-0000-0000-000063000000}"/>
    <cellStyle name="Percent 2 2" xfId="31" xr:uid="{00000000-0005-0000-0000-000064000000}"/>
    <cellStyle name="Percent 2 3" xfId="32" xr:uid="{00000000-0005-0000-0000-000065000000}"/>
    <cellStyle name="Percent 3" xfId="33" xr:uid="{00000000-0005-0000-0000-000066000000}"/>
    <cellStyle name="Percent 4" xfId="34" xr:uid="{00000000-0005-0000-0000-000067000000}"/>
    <cellStyle name="Percent 4 2" xfId="35" xr:uid="{00000000-0005-0000-0000-000068000000}"/>
    <cellStyle name="Percent 5" xfId="36" xr:uid="{00000000-0005-0000-0000-000069000000}"/>
    <cellStyle name="Percent 5 2" xfId="37" xr:uid="{00000000-0005-0000-0000-00006A000000}"/>
    <cellStyle name="Percent 6" xfId="38" xr:uid="{00000000-0005-0000-0000-00006B000000}"/>
    <cellStyle name="Percent 7" xfId="39" xr:uid="{00000000-0005-0000-0000-00006C000000}"/>
    <cellStyle name="Style 1" xfId="40" xr:uid="{00000000-0005-0000-0000-00006D000000}"/>
    <cellStyle name="Style 2" xfId="41" xr:uid="{00000000-0005-0000-0000-00006E000000}"/>
  </cellStyles>
  <dxfs count="2">
    <dxf>
      <fill>
        <patternFill>
          <bgColor theme="2"/>
        </patternFill>
      </fill>
    </dxf>
    <dxf>
      <font>
        <color rgb="FF9C0006"/>
      </font>
      <fill>
        <patternFill>
          <bgColor rgb="FFFFC7CE"/>
        </patternFill>
      </fill>
    </dxf>
  </dxfs>
  <tableStyles count="0" defaultTableStyle="TableStyleMedium9" defaultPivotStyle="PivotStyleLight16"/>
  <colors>
    <mruColors>
      <color rgb="FF267482"/>
      <color rgb="FFD3EBEA"/>
      <color rgb="FF4472C4"/>
      <color rgb="FFED7C31"/>
      <color rgb="FFED7D31"/>
      <color rgb="FFD4FCFE"/>
      <color rgb="FFC6EAEB"/>
      <color rgb="FFEDEDED"/>
      <color rgb="FFB9EFEB"/>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Avenir Book" panose="02000503020000020003" pitchFamily="2" charset="0"/>
                <a:ea typeface="+mn-ea"/>
                <a:cs typeface="+mn-cs"/>
              </a:defRPr>
            </a:pPr>
            <a:r>
              <a:rPr lang="en-US" sz="1800">
                <a:latin typeface="Avenir Book" panose="02000503020000020003" pitchFamily="2" charset="0"/>
              </a:rPr>
              <a:t>Travel emissions per passenger-mile </a:t>
            </a:r>
          </a:p>
          <a:p>
            <a:pPr>
              <a:defRPr sz="1800" b="0" i="0" u="none" strike="noStrike" kern="1200" spc="0" baseline="0">
                <a:solidFill>
                  <a:schemeClr val="tx1">
                    <a:lumMod val="65000"/>
                    <a:lumOff val="35000"/>
                  </a:schemeClr>
                </a:solidFill>
                <a:latin typeface="Avenir Book" panose="02000503020000020003" pitchFamily="2" charset="0"/>
                <a:ea typeface="+mn-ea"/>
                <a:cs typeface="+mn-cs"/>
              </a:defRPr>
            </a:pPr>
            <a:r>
              <a:rPr lang="en-US" sz="1800">
                <a:latin typeface="Avenir Book" panose="02000503020000020003" pitchFamily="2" charset="0"/>
              </a:rPr>
              <a:t>(in MT CO</a:t>
            </a:r>
            <a:r>
              <a:rPr lang="en-US" sz="1800" baseline="-25000">
                <a:latin typeface="Avenir Book" panose="02000503020000020003" pitchFamily="2" charset="0"/>
              </a:rPr>
              <a:t>2</a:t>
            </a:r>
            <a:r>
              <a:rPr lang="en-US" sz="1800">
                <a:latin typeface="Avenir Book" panose="02000503020000020003" pitchFamily="2" charset="0"/>
              </a:rPr>
              <a:t>e)</a:t>
            </a:r>
          </a:p>
        </c:rich>
      </c:tx>
      <c:overlay val="0"/>
      <c:spPr>
        <a:noFill/>
        <a:ln>
          <a:noFill/>
        </a:ln>
        <a:effectLst/>
      </c:spPr>
    </c:title>
    <c:autoTitleDeleted val="0"/>
    <c:plotArea>
      <c:layout/>
      <c:barChart>
        <c:barDir val="bar"/>
        <c:grouping val="clustered"/>
        <c:varyColors val="0"/>
        <c:ser>
          <c:idx val="0"/>
          <c:order val="0"/>
          <c:tx>
            <c:strRef>
              <c:f>'Emissions Factors'!$L$487</c:f>
              <c:strCache>
                <c:ptCount val="1"/>
                <c:pt idx="0">
                  <c:v>0.14</c:v>
                </c:pt>
              </c:strCache>
            </c:strRef>
          </c:tx>
          <c:spPr>
            <a:solidFill>
              <a:schemeClr val="accent1"/>
            </a:solidFill>
            <a:ln>
              <a:noFill/>
            </a:ln>
            <a:effectLst/>
          </c:spPr>
          <c:invertIfNegative val="0"/>
          <c:cat>
            <c:strRef>
              <c:f>'Emissions Factors'!$K$488:$K$493</c:f>
              <c:strCache>
                <c:ptCount val="6"/>
                <c:pt idx="0">
                  <c:v>Commuter rail</c:v>
                </c:pt>
                <c:pt idx="1">
                  <c:v>Transit rail</c:v>
                </c:pt>
                <c:pt idx="2">
                  <c:v>Bus</c:v>
                </c:pt>
                <c:pt idx="3">
                  <c:v>Air travel: less than 300 mile trip</c:v>
                </c:pt>
                <c:pt idx="4">
                  <c:v>Air travel: 300-2300 mile trip</c:v>
                </c:pt>
                <c:pt idx="5">
                  <c:v>Air travel: 2300+ mile trip</c:v>
                </c:pt>
              </c:strCache>
            </c:strRef>
          </c:cat>
          <c:val>
            <c:numRef>
              <c:f>'Emissions Factors'!$L$488:$L$493</c:f>
              <c:numCache>
                <c:formatCode>0.00</c:formatCode>
                <c:ptCount val="6"/>
                <c:pt idx="0">
                  <c:v>0.16207479999999999</c:v>
                </c:pt>
                <c:pt idx="1">
                  <c:v>0.1195205</c:v>
                </c:pt>
                <c:pt idx="2">
                  <c:v>5.6274900000000003E-2</c:v>
                </c:pt>
                <c:pt idx="3">
                  <c:v>0.2270172</c:v>
                </c:pt>
                <c:pt idx="4">
                  <c:v>0.13715630000000001</c:v>
                </c:pt>
                <c:pt idx="5">
                  <c:v>0.16742130000000002</c:v>
                </c:pt>
              </c:numCache>
            </c:numRef>
          </c:val>
          <c:extLst>
            <c:ext xmlns:c16="http://schemas.microsoft.com/office/drawing/2014/chart" uri="{C3380CC4-5D6E-409C-BE32-E72D297353CC}">
              <c16:uniqueId val="{00000000-7E35-0A4C-B78E-1342C6B42D7B}"/>
            </c:ext>
          </c:extLst>
        </c:ser>
        <c:dLbls>
          <c:showLegendKey val="0"/>
          <c:showVal val="0"/>
          <c:showCatName val="0"/>
          <c:showSerName val="0"/>
          <c:showPercent val="0"/>
          <c:showBubbleSize val="0"/>
        </c:dLbls>
        <c:gapWidth val="182"/>
        <c:axId val="2084855448"/>
        <c:axId val="2038460216"/>
      </c:barChart>
      <c:catAx>
        <c:axId val="208485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venir Book" panose="02000503020000020003" pitchFamily="2" charset="0"/>
                <a:ea typeface="+mn-ea"/>
                <a:cs typeface="+mn-cs"/>
              </a:defRPr>
            </a:pPr>
            <a:endParaRPr lang="en-US"/>
          </a:p>
        </c:txPr>
        <c:crossAx val="2038460216"/>
        <c:crosses val="autoZero"/>
        <c:auto val="1"/>
        <c:lblAlgn val="ctr"/>
        <c:lblOffset val="100"/>
        <c:noMultiLvlLbl val="0"/>
      </c:catAx>
      <c:valAx>
        <c:axId val="203846021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Book" panose="02000503020000020003" pitchFamily="2" charset="0"/>
                <a:ea typeface="+mn-ea"/>
                <a:cs typeface="+mn-cs"/>
              </a:defRPr>
            </a:pPr>
            <a:endParaRPr lang="en-US"/>
          </a:p>
        </c:txPr>
        <c:crossAx val="2084855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Avenir Book" panose="02000503020000020003" pitchFamily="2" charset="0"/>
                <a:ea typeface="+mn-ea"/>
                <a:cs typeface="+mn-cs"/>
              </a:defRPr>
            </a:pPr>
            <a:r>
              <a:rPr lang="en-US" sz="1800">
                <a:latin typeface="Avenir Book" panose="02000503020000020003" pitchFamily="2" charset="0"/>
              </a:rPr>
              <a:t>Freight emissions per metric ton-mile </a:t>
            </a:r>
          </a:p>
          <a:p>
            <a:pPr>
              <a:defRPr sz="1800" b="0" i="0" u="none" strike="noStrike" kern="1200" spc="0" baseline="0">
                <a:solidFill>
                  <a:schemeClr val="tx1">
                    <a:lumMod val="65000"/>
                    <a:lumOff val="35000"/>
                  </a:schemeClr>
                </a:solidFill>
                <a:latin typeface="Avenir Book" panose="02000503020000020003" pitchFamily="2" charset="0"/>
                <a:ea typeface="+mn-ea"/>
                <a:cs typeface="+mn-cs"/>
              </a:defRPr>
            </a:pPr>
            <a:r>
              <a:rPr lang="en-US" sz="1800">
                <a:latin typeface="Avenir Book" panose="02000503020000020003" pitchFamily="2" charset="0"/>
              </a:rPr>
              <a:t>(in MT CO</a:t>
            </a:r>
            <a:r>
              <a:rPr lang="en-US" sz="1800" baseline="-25000">
                <a:latin typeface="Avenir Book" panose="02000503020000020003" pitchFamily="2" charset="0"/>
              </a:rPr>
              <a:t>2</a:t>
            </a:r>
            <a:r>
              <a:rPr lang="en-US" sz="1800">
                <a:latin typeface="Avenir Book" panose="02000503020000020003" pitchFamily="2" charset="0"/>
              </a:rPr>
              <a:t>e)</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cat>
            <c:strRef>
              <c:f>'Emissions Factors'!$B$490:$B$493</c:f>
              <c:strCache>
                <c:ptCount val="4"/>
                <c:pt idx="0">
                  <c:v>Medium- and heavy-duty truck</c:v>
                </c:pt>
                <c:pt idx="1">
                  <c:v>Rail</c:v>
                </c:pt>
                <c:pt idx="2">
                  <c:v>Waterborne Craft (Ocean freight)</c:v>
                </c:pt>
                <c:pt idx="3">
                  <c:v>Aircraft</c:v>
                </c:pt>
              </c:strCache>
            </c:strRef>
          </c:cat>
          <c:val>
            <c:numRef>
              <c:f>'Emissions Factors'!$C$490:$C$493</c:f>
              <c:numCache>
                <c:formatCode>0.00</c:formatCode>
                <c:ptCount val="4"/>
                <c:pt idx="0">
                  <c:v>0.20245350000000001</c:v>
                </c:pt>
                <c:pt idx="1">
                  <c:v>2.3209399999999998E-2</c:v>
                </c:pt>
                <c:pt idx="2">
                  <c:v>6.0073999999999995E-2</c:v>
                </c:pt>
                <c:pt idx="3">
                  <c:v>1.3186530000000001</c:v>
                </c:pt>
              </c:numCache>
            </c:numRef>
          </c:val>
          <c:extLst>
            <c:ext xmlns:c16="http://schemas.microsoft.com/office/drawing/2014/chart" uri="{C3380CC4-5D6E-409C-BE32-E72D297353CC}">
              <c16:uniqueId val="{00000000-4768-814C-B2CC-AC4BDE6CC220}"/>
            </c:ext>
          </c:extLst>
        </c:ser>
        <c:dLbls>
          <c:showLegendKey val="0"/>
          <c:showVal val="0"/>
          <c:showCatName val="0"/>
          <c:showSerName val="0"/>
          <c:showPercent val="0"/>
          <c:showBubbleSize val="0"/>
        </c:dLbls>
        <c:gapWidth val="182"/>
        <c:axId val="2079061560"/>
        <c:axId val="2084264104"/>
      </c:barChart>
      <c:catAx>
        <c:axId val="2079061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venir Book" panose="02000503020000020003" pitchFamily="2" charset="0"/>
                <a:ea typeface="+mn-ea"/>
                <a:cs typeface="+mn-cs"/>
              </a:defRPr>
            </a:pPr>
            <a:endParaRPr lang="en-US"/>
          </a:p>
        </c:txPr>
        <c:crossAx val="2084264104"/>
        <c:crosses val="autoZero"/>
        <c:auto val="1"/>
        <c:lblAlgn val="ctr"/>
        <c:lblOffset val="100"/>
        <c:noMultiLvlLbl val="0"/>
      </c:catAx>
      <c:valAx>
        <c:axId val="208426410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venir Book" panose="02000503020000020003" pitchFamily="2" charset="0"/>
                <a:ea typeface="+mn-ea"/>
                <a:cs typeface="+mn-cs"/>
              </a:defRPr>
            </a:pPr>
            <a:endParaRPr lang="en-US"/>
          </a:p>
        </c:txPr>
        <c:crossAx val="20790615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defRPr>
            </a:pPr>
            <a:r>
              <a:rPr lang="en-US">
                <a:solidFill>
                  <a:sysClr val="windowText" lastClr="000000"/>
                </a:solidFill>
              </a:rPr>
              <a:t>Emissions and Sequestration</a:t>
            </a:r>
          </a:p>
        </c:rich>
      </c:tx>
      <c:layout>
        <c:manualLayout>
          <c:xMode val="edge"/>
          <c:yMode val="edge"/>
          <c:x val="0.45818333596552602"/>
          <c:y val="2.29226361031519E-2"/>
        </c:manualLayout>
      </c:layout>
      <c:overlay val="0"/>
      <c:spPr>
        <a:noFill/>
        <a:ln>
          <a:noFill/>
        </a:ln>
        <a:effectLst/>
      </c:spPr>
    </c:title>
    <c:autoTitleDeleted val="0"/>
    <c:plotArea>
      <c:layout>
        <c:manualLayout>
          <c:layoutTarget val="inner"/>
          <c:xMode val="edge"/>
          <c:yMode val="edge"/>
          <c:x val="0.15000816731719399"/>
          <c:y val="0.105172032579022"/>
          <c:w val="0.83242100038354805"/>
          <c:h val="0.45542825771420398"/>
        </c:manualLayout>
      </c:layout>
      <c:barChart>
        <c:barDir val="col"/>
        <c:grouping val="stacked"/>
        <c:varyColors val="0"/>
        <c:ser>
          <c:idx val="0"/>
          <c:order val="0"/>
          <c:tx>
            <c:strRef>
              <c:f>Report!$E$24</c:f>
              <c:strCache>
                <c:ptCount val="1"/>
                <c:pt idx="0">
                  <c:v>Emissions</c:v>
                </c:pt>
              </c:strCache>
            </c:strRef>
          </c:tx>
          <c:spPr>
            <a:solidFill>
              <a:srgbClr val="267482"/>
            </a:solidFill>
            <a:ln>
              <a:noFill/>
            </a:ln>
            <a:effectLst/>
          </c:spPr>
          <c:invertIfNegative val="0"/>
          <c:cat>
            <c:strRef>
              <c:f>Report!$B$26:$B$35</c:f>
              <c:strCache>
                <c:ptCount val="10"/>
                <c:pt idx="0">
                  <c:v>Stationary Combustion</c:v>
                </c:pt>
                <c:pt idx="1">
                  <c:v>Mobile Combustion</c:v>
                </c:pt>
                <c:pt idx="2">
                  <c:v>Refrigerants</c:v>
                </c:pt>
                <c:pt idx="3">
                  <c:v>Vineyard Applications</c:v>
                </c:pt>
                <c:pt idx="4">
                  <c:v>Vineyard Land Management</c:v>
                </c:pt>
                <c:pt idx="5">
                  <c:v>Purchased Electricity**</c:v>
                </c:pt>
                <c:pt idx="6">
                  <c:v>Packaging Materials</c:v>
                </c:pt>
                <c:pt idx="7">
                  <c:v>Business Travel</c:v>
                </c:pt>
                <c:pt idx="8">
                  <c:v>Freight Transport</c:v>
                </c:pt>
                <c:pt idx="9">
                  <c:v>Off-site Waste</c:v>
                </c:pt>
              </c:strCache>
            </c:strRef>
          </c:cat>
          <c:val>
            <c:numRef>
              <c:f>Report!$E$26:$E$35</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637-6048-A7F5-98F7DAD74522}"/>
            </c:ext>
          </c:extLst>
        </c:ser>
        <c:ser>
          <c:idx val="1"/>
          <c:order val="1"/>
          <c:tx>
            <c:strRef>
              <c:f>Report!$F$24</c:f>
              <c:strCache>
                <c:ptCount val="1"/>
                <c:pt idx="0">
                  <c:v>Sequestration, offsets, or credits</c:v>
                </c:pt>
              </c:strCache>
            </c:strRef>
          </c:tx>
          <c:spPr>
            <a:solidFill>
              <a:srgbClr val="B9EFEB"/>
            </a:solidFill>
            <a:ln>
              <a:noFill/>
            </a:ln>
            <a:effectLst/>
          </c:spPr>
          <c:invertIfNegative val="0"/>
          <c:cat>
            <c:strRef>
              <c:f>Report!$B$26:$B$35</c:f>
              <c:strCache>
                <c:ptCount val="10"/>
                <c:pt idx="0">
                  <c:v>Stationary Combustion</c:v>
                </c:pt>
                <c:pt idx="1">
                  <c:v>Mobile Combustion</c:v>
                </c:pt>
                <c:pt idx="2">
                  <c:v>Refrigerants</c:v>
                </c:pt>
                <c:pt idx="3">
                  <c:v>Vineyard Applications</c:v>
                </c:pt>
                <c:pt idx="4">
                  <c:v>Vineyard Land Management</c:v>
                </c:pt>
                <c:pt idx="5">
                  <c:v>Purchased Electricity**</c:v>
                </c:pt>
                <c:pt idx="6">
                  <c:v>Packaging Materials</c:v>
                </c:pt>
                <c:pt idx="7">
                  <c:v>Business Travel</c:v>
                </c:pt>
                <c:pt idx="8">
                  <c:v>Freight Transport</c:v>
                </c:pt>
                <c:pt idx="9">
                  <c:v>Off-site Waste</c:v>
                </c:pt>
              </c:strCache>
            </c:strRef>
          </c:cat>
          <c:val>
            <c:numRef>
              <c:f>Report!$F$26:$F$35</c:f>
              <c:numCache>
                <c:formatCode>#,##0.0</c:formatCode>
                <c:ptCount val="10"/>
                <c:pt idx="0">
                  <c:v>0</c:v>
                </c:pt>
                <c:pt idx="3">
                  <c:v>0</c:v>
                </c:pt>
                <c:pt idx="4">
                  <c:v>0</c:v>
                </c:pt>
                <c:pt idx="5">
                  <c:v>0</c:v>
                </c:pt>
              </c:numCache>
            </c:numRef>
          </c:val>
          <c:extLst>
            <c:ext xmlns:c16="http://schemas.microsoft.com/office/drawing/2014/chart" uri="{C3380CC4-5D6E-409C-BE32-E72D297353CC}">
              <c16:uniqueId val="{00000001-E637-6048-A7F5-98F7DAD74522}"/>
            </c:ext>
          </c:extLst>
        </c:ser>
        <c:dLbls>
          <c:showLegendKey val="0"/>
          <c:showVal val="0"/>
          <c:showCatName val="0"/>
          <c:showSerName val="0"/>
          <c:showPercent val="0"/>
          <c:showBubbleSize val="0"/>
        </c:dLbls>
        <c:gapWidth val="150"/>
        <c:overlap val="100"/>
        <c:axId val="2092875048"/>
        <c:axId val="2083674872"/>
      </c:barChart>
      <c:catAx>
        <c:axId val="209287504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en-US"/>
          </a:p>
        </c:txPr>
        <c:crossAx val="2083674872"/>
        <c:crosses val="autoZero"/>
        <c:auto val="1"/>
        <c:lblAlgn val="ctr"/>
        <c:lblOffset val="100"/>
        <c:noMultiLvlLbl val="0"/>
      </c:catAx>
      <c:valAx>
        <c:axId val="20836748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en-US"/>
          </a:p>
        </c:txPr>
        <c:crossAx val="2092875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latin typeface="Verdana" panose="020B0604030504040204" pitchFamily="34" charset="0"/>
          <a:ea typeface="Verdana" panose="020B0604030504040204" pitchFamily="34" charset="0"/>
          <a:cs typeface="Verdana" panose="020B060403050404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tiff"/></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33867</xdr:colOff>
      <xdr:row>476</xdr:row>
      <xdr:rowOff>50800</xdr:rowOff>
    </xdr:from>
    <xdr:to>
      <xdr:col>1</xdr:col>
      <xdr:colOff>1026512</xdr:colOff>
      <xdr:row>478</xdr:row>
      <xdr:rowOff>68942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13267" y="48861133"/>
          <a:ext cx="992645" cy="338667"/>
        </a:xfrm>
        <a:prstGeom prst="rect">
          <a:avLst/>
        </a:prstGeom>
      </xdr:spPr>
    </xdr:pic>
    <xdr:clientData/>
  </xdr:twoCellAnchor>
  <xdr:twoCellAnchor editAs="oneCell">
    <xdr:from>
      <xdr:col>28</xdr:col>
      <xdr:colOff>93681</xdr:colOff>
      <xdr:row>206</xdr:row>
      <xdr:rowOff>81252</xdr:rowOff>
    </xdr:from>
    <xdr:to>
      <xdr:col>39</xdr:col>
      <xdr:colOff>597857</xdr:colOff>
      <xdr:row>482</xdr:row>
      <xdr:rowOff>109693</xdr:rowOff>
    </xdr:to>
    <xdr:pic>
      <xdr:nvPicPr>
        <xdr:cNvPr id="6" name="Picture 5" descr="Image result for washington county map">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53143" y="28116843"/>
          <a:ext cx="7864714" cy="457445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11</xdr:col>
      <xdr:colOff>457200</xdr:colOff>
      <xdr:row>444</xdr:row>
      <xdr:rowOff>60466</xdr:rowOff>
    </xdr:from>
    <xdr:to>
      <xdr:col>18</xdr:col>
      <xdr:colOff>1101318</xdr:colOff>
      <xdr:row>487</xdr:row>
      <xdr:rowOff>21221</xdr:rowOff>
    </xdr:to>
    <xdr:pic>
      <xdr:nvPicPr>
        <xdr:cNvPr id="4" name="Picture 3">
          <a:extLst>
            <a:ext uri="{FF2B5EF4-FFF2-40B4-BE49-F238E27FC236}">
              <a16:creationId xmlns:a16="http://schemas.microsoft.com/office/drawing/2014/main" id="{FC7E50E5-92F3-E44B-A2F2-47424981A9C0}"/>
            </a:ext>
          </a:extLst>
        </xdr:cNvPr>
        <xdr:cNvPicPr>
          <a:picLocks noChangeAspect="1"/>
        </xdr:cNvPicPr>
      </xdr:nvPicPr>
      <xdr:blipFill>
        <a:blip xmlns:r="http://schemas.openxmlformats.org/officeDocument/2006/relationships" r:embed="rId3"/>
        <a:stretch>
          <a:fillRect/>
        </a:stretch>
      </xdr:blipFill>
      <xdr:spPr>
        <a:xfrm>
          <a:off x="12496800" y="26456146"/>
          <a:ext cx="6648678" cy="3473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259467</xdr:colOff>
      <xdr:row>14</xdr:row>
      <xdr:rowOff>127000</xdr:rowOff>
    </xdr:from>
    <xdr:to>
      <xdr:col>5</xdr:col>
      <xdr:colOff>234995</xdr:colOff>
      <xdr:row>17</xdr:row>
      <xdr:rowOff>150139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732667" y="7531100"/>
          <a:ext cx="1728128" cy="587093"/>
        </a:xfrm>
        <a:prstGeom prst="rect">
          <a:avLst/>
        </a:prstGeom>
      </xdr:spPr>
    </xdr:pic>
    <xdr:clientData/>
  </xdr:twoCellAnchor>
  <xdr:twoCellAnchor editAs="oneCell">
    <xdr:from>
      <xdr:col>0</xdr:col>
      <xdr:colOff>117797</xdr:colOff>
      <xdr:row>12</xdr:row>
      <xdr:rowOff>3923894</xdr:rowOff>
    </xdr:from>
    <xdr:to>
      <xdr:col>1</xdr:col>
      <xdr:colOff>1226151</xdr:colOff>
      <xdr:row>19</xdr:row>
      <xdr:rowOff>74329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7797" y="10411937"/>
          <a:ext cx="1246397" cy="143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47</xdr:row>
      <xdr:rowOff>0</xdr:rowOff>
    </xdr:from>
    <xdr:to>
      <xdr:col>13</xdr:col>
      <xdr:colOff>304800</xdr:colOff>
      <xdr:row>48</xdr:row>
      <xdr:rowOff>114300</xdr:rowOff>
    </xdr:to>
    <xdr:sp macro="" textlink="">
      <xdr:nvSpPr>
        <xdr:cNvPr id="54280" name="&lt;image006.png@01D61983.22676560&gt;" descr="143667B78F234BE28FC1A898A466F5F2.png">
          <a:extLst>
            <a:ext uri="{FF2B5EF4-FFF2-40B4-BE49-F238E27FC236}">
              <a16:creationId xmlns:a16="http://schemas.microsoft.com/office/drawing/2014/main" id="{83521C61-C970-9E4C-BD6C-5FFFFAA59742}"/>
            </a:ext>
          </a:extLst>
        </xdr:cNvPr>
        <xdr:cNvSpPr>
          <a:spLocks noChangeAspect="1" noChangeArrowheads="1"/>
        </xdr:cNvSpPr>
      </xdr:nvSpPr>
      <xdr:spPr bwMode="auto">
        <a:xfrm>
          <a:off x="12738100" y="779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1336877</xdr:colOff>
      <xdr:row>3</xdr:row>
      <xdr:rowOff>14030</xdr:rowOff>
    </xdr:from>
    <xdr:to>
      <xdr:col>34</xdr:col>
      <xdr:colOff>449945</xdr:colOff>
      <xdr:row>6</xdr:row>
      <xdr:rowOff>4021</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10031492" y="1001808"/>
          <a:ext cx="3779832" cy="3865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26</xdr:col>
      <xdr:colOff>25400</xdr:colOff>
      <xdr:row>0</xdr:row>
      <xdr:rowOff>165100</xdr:rowOff>
    </xdr:from>
    <xdr:to>
      <xdr:col>34</xdr:col>
      <xdr:colOff>609600</xdr:colOff>
      <xdr:row>19</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0</xdr:colOff>
      <xdr:row>2</xdr:row>
      <xdr:rowOff>0</xdr:rowOff>
    </xdr:from>
    <xdr:to>
      <xdr:col>23</xdr:col>
      <xdr:colOff>635000</xdr:colOff>
      <xdr:row>15</xdr:row>
      <xdr:rowOff>17757</xdr:rowOff>
    </xdr:to>
    <xdr:sp macro="" textlink="">
      <xdr:nvSpPr>
        <xdr:cNvPr id="53250" name="&lt;0F3510F5-DF7D-4E21-A029-C96D013EB565@hsd1.or.comcast.net.&gt;" descr="PastedGraphic-4.png">
          <a:extLst>
            <a:ext uri="{FF2B5EF4-FFF2-40B4-BE49-F238E27FC236}">
              <a16:creationId xmlns:a16="http://schemas.microsoft.com/office/drawing/2014/main" id="{00000000-0008-0000-0C00-000002D00000}"/>
            </a:ext>
          </a:extLst>
        </xdr:cNvPr>
        <xdr:cNvSpPr>
          <a:spLocks noChangeAspect="1" noChangeArrowheads="1"/>
        </xdr:cNvSpPr>
      </xdr:nvSpPr>
      <xdr:spPr bwMode="auto">
        <a:xfrm>
          <a:off x="8940800" y="419100"/>
          <a:ext cx="4318000" cy="43180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xdr:from>
      <xdr:col>18</xdr:col>
      <xdr:colOff>19050</xdr:colOff>
      <xdr:row>2</xdr:row>
      <xdr:rowOff>12700</xdr:rowOff>
    </xdr:from>
    <xdr:to>
      <xdr:col>26</xdr:col>
      <xdr:colOff>190500</xdr:colOff>
      <xdr:row>14</xdr:row>
      <xdr:rowOff>876300</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393700</xdr:colOff>
      <xdr:row>40</xdr:row>
      <xdr:rowOff>133016</xdr:rowOff>
    </xdr:from>
    <xdr:to>
      <xdr:col>22</xdr:col>
      <xdr:colOff>590823</xdr:colOff>
      <xdr:row>57</xdr:row>
      <xdr:rowOff>81644</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9410700" y="6991016"/>
          <a:ext cx="8985522" cy="5505785"/>
        </a:xfrm>
        <a:prstGeom prst="rect">
          <a:avLst/>
        </a:prstGeom>
      </xdr:spPr>
    </xdr:pic>
    <xdr:clientData/>
  </xdr:twoCellAnchor>
  <xdr:twoCellAnchor editAs="oneCell">
    <xdr:from>
      <xdr:col>9</xdr:col>
      <xdr:colOff>76200</xdr:colOff>
      <xdr:row>58</xdr:row>
      <xdr:rowOff>139700</xdr:rowOff>
    </xdr:from>
    <xdr:to>
      <xdr:col>23</xdr:col>
      <xdr:colOff>444501</xdr:colOff>
      <xdr:row>68</xdr:row>
      <xdr:rowOff>110680</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8648700" y="12103100"/>
          <a:ext cx="9855200" cy="1748979"/>
        </a:xfrm>
        <a:prstGeom prst="rect">
          <a:avLst/>
        </a:prstGeom>
      </xdr:spPr>
    </xdr:pic>
    <xdr:clientData/>
  </xdr:twoCellAnchor>
  <xdr:twoCellAnchor>
    <xdr:from>
      <xdr:col>9</xdr:col>
      <xdr:colOff>646545</xdr:colOff>
      <xdr:row>1</xdr:row>
      <xdr:rowOff>84877</xdr:rowOff>
    </xdr:from>
    <xdr:to>
      <xdr:col>25</xdr:col>
      <xdr:colOff>667873</xdr:colOff>
      <xdr:row>40</xdr:row>
      <xdr:rowOff>104485</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odco1.sharepoint.com/C:/Clients/Climate%20Friendly%20Nurseries%20(CFNP)/Tools/CFNP_GHG%20Inventory%20Tool%202.1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gation Tree"/>
      <sheetName val="Introduction"/>
      <sheetName val="General Information (Required)"/>
      <sheetName val="StationaryCombustion (Required)"/>
      <sheetName val="Mobile Combustion (Required)"/>
      <sheetName val="Refrigerant Blends (Required)"/>
      <sheetName val="PurchasedElectricity (Required)"/>
      <sheetName val="Fertilizer Use (Optional)"/>
      <sheetName val="Freight Transport (Optional)"/>
      <sheetName val="Plastics (Optional)"/>
      <sheetName val="Onsite Waste (Optional)"/>
      <sheetName val="Offsite Waste (Optional)"/>
      <sheetName val="Water &amp; Waste Water (Optional)"/>
      <sheetName val="Meter Importer"/>
      <sheetName val="Results (Current Year)"/>
      <sheetName val="Results (All Years)"/>
      <sheetName val="ROI Calculator"/>
      <sheetName val="References"/>
      <sheetName val="Onsite Waste (Optional) (2)"/>
    </sheetNames>
    <sheetDataSet>
      <sheetData sheetId="0"/>
      <sheetData sheetId="1"/>
      <sheetData sheetId="2">
        <row r="1">
          <cell r="CU1" t="str">
            <v>(Select)</v>
          </cell>
        </row>
        <row r="2">
          <cell r="CU2" t="str">
            <v>YES</v>
          </cell>
        </row>
        <row r="3">
          <cell r="CU3" t="str">
            <v>NO</v>
          </cell>
        </row>
      </sheetData>
      <sheetData sheetId="3"/>
      <sheetData sheetId="4"/>
      <sheetData sheetId="5"/>
      <sheetData sheetId="6"/>
      <sheetData sheetId="7">
        <row r="1">
          <cell r="CC1" t="str">
            <v>Tons</v>
          </cell>
        </row>
        <row r="2">
          <cell r="CC2" t="str">
            <v>Lbs</v>
          </cell>
        </row>
      </sheetData>
      <sheetData sheetId="8"/>
      <sheetData sheetId="9"/>
      <sheetData sheetId="10"/>
      <sheetData sheetId="11"/>
      <sheetData sheetId="12"/>
      <sheetData sheetId="13"/>
      <sheetData sheetId="14">
        <row r="55">
          <cell r="J55" t="e">
            <v>#REF!</v>
          </cell>
          <cell r="K55" t="e">
            <v>#REF!</v>
          </cell>
        </row>
        <row r="56">
          <cell r="J56" t="e">
            <v>#REF!</v>
          </cell>
        </row>
        <row r="57">
          <cell r="J57" t="e">
            <v>#REF!</v>
          </cell>
        </row>
        <row r="58">
          <cell r="J58" t="e">
            <v>#REF!</v>
          </cell>
        </row>
        <row r="59">
          <cell r="J59" t="e">
            <v>#REF!</v>
          </cell>
        </row>
        <row r="60">
          <cell r="J60" t="e">
            <v>#REF!</v>
          </cell>
        </row>
        <row r="61">
          <cell r="J61" t="e">
            <v>#REF!</v>
          </cell>
        </row>
        <row r="62">
          <cell r="J62" t="e">
            <v>#REF!</v>
          </cell>
        </row>
        <row r="63">
          <cell r="J63" t="e">
            <v>#REF!</v>
          </cell>
        </row>
        <row r="64">
          <cell r="J64" t="e">
            <v>#REF!</v>
          </cell>
        </row>
      </sheetData>
      <sheetData sheetId="15"/>
      <sheetData sheetId="16"/>
      <sheetData sheetId="17"/>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Claudia Denton" id="{62C3C9F2-B0A7-5646-8F97-B3225FD8A8EF}" userId="S::claudia.denton@goodcompany.com::5ea573b0-1bd9-4ff4-905c-a5c09649b1f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Aspect">
      <a:fillStyleLst>
        <a:solidFill>
          <a:schemeClr val="phClr"/>
        </a:solidFill>
        <a:gradFill rotWithShape="1">
          <a:gsLst>
            <a:gs pos="0">
              <a:schemeClr val="phClr">
                <a:tint val="65000"/>
                <a:satMod val="270000"/>
              </a:schemeClr>
            </a:gs>
            <a:gs pos="25000">
              <a:schemeClr val="phClr">
                <a:tint val="60000"/>
                <a:satMod val="300000"/>
              </a:schemeClr>
            </a:gs>
            <a:gs pos="100000">
              <a:schemeClr val="phClr">
                <a:tint val="29000"/>
                <a:satMod val="400000"/>
              </a:schemeClr>
            </a:gs>
          </a:gsLst>
          <a:lin ang="16200000" scaled="1"/>
        </a:gradFill>
        <a:gradFill rotWithShape="1">
          <a:gsLst>
            <a:gs pos="0">
              <a:schemeClr val="phClr">
                <a:shade val="45000"/>
                <a:satMod val="155000"/>
              </a:schemeClr>
            </a:gs>
            <a:gs pos="60000">
              <a:schemeClr val="phClr">
                <a:shade val="95000"/>
                <a:satMod val="150000"/>
              </a:schemeClr>
            </a:gs>
            <a:gs pos="100000">
              <a:schemeClr val="phClr">
                <a:tint val="87000"/>
                <a:satMod val="250000"/>
              </a:schemeClr>
            </a:gs>
          </a:gsLst>
          <a:lin ang="16200000" scaled="0"/>
        </a:gradFill>
      </a:fillStyleLst>
      <a:lnStyleLst>
        <a:ln w="9525" cap="flat" cmpd="sng" algn="ctr">
          <a:solidFill>
            <a:schemeClr val="phClr">
              <a:satMod val="150000"/>
            </a:schemeClr>
          </a:solidFill>
          <a:prstDash val="solid"/>
        </a:ln>
        <a:ln w="42500" cap="flat" cmpd="sng" algn="ctr">
          <a:solidFill>
            <a:schemeClr val="phClr"/>
          </a:solidFill>
          <a:prstDash val="solid"/>
        </a:ln>
        <a:ln w="38100" cap="flat" cmpd="sng" algn="ctr">
          <a:solidFill>
            <a:schemeClr val="phClr"/>
          </a:solidFill>
          <a:prstDash val="solid"/>
        </a:ln>
      </a:lnStyleLst>
      <a:effectStyleLst>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scene3d>
            <a:camera prst="orthographicFront" fov="0">
              <a:rot lat="0" lon="0" rev="0"/>
            </a:camera>
            <a:lightRig rig="contrasting" dir="t">
              <a:rot lat="0" lon="0" rev="12000000"/>
            </a:lightRig>
          </a:scene3d>
          <a:sp3d prstMaterial="powder">
            <a:bevelT h="508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67" dT="2022-03-24T17:52:24.82" personId="{62C3C9F2-B0A7-5646-8F97-B3225FD8A8EF}" id="{2065AF33-14C5-F14E-9ADF-CB21F2B0725E}">
    <text>.06 short tons of CO2 per ton of grapes
Convert to per standard bottle, divide by 720 bottles produced per ton</text>
  </threadedComment>
  <threadedComment ref="D467" dT="2022-03-24T18:01:25.97" personId="{62C3C9F2-B0A7-5646-8F97-B3225FD8A8EF}" id="{F0D2679C-74AE-CC48-82AD-1EAD1610E9D3}">
    <text>Convert to MT, convert to cases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pa.gov/warm/versions-waste-reduction-model-warm" TargetMode="External"/><Relationship Id="rId13" Type="http://schemas.openxmlformats.org/officeDocument/2006/relationships/hyperlink" Target="https://www.epa.gov/sites/production/files/2019-10/documents/warm_v15_management_practices_updated_10-08-2019.pdf" TargetMode="External"/><Relationship Id="rId18" Type="http://schemas.openxmlformats.org/officeDocument/2006/relationships/hyperlink" Target="http://comet-planner.com/" TargetMode="External"/><Relationship Id="rId26" Type="http://schemas.openxmlformats.org/officeDocument/2006/relationships/hyperlink" Target="https://www.epa.gov/sites/default/files/2020-12/documents/warm_management_practices_v15_10-29-2020.pdf" TargetMode="External"/><Relationship Id="rId3" Type="http://schemas.openxmlformats.org/officeDocument/2006/relationships/hyperlink" Target="https://www.epa.gov/sites/production/files/2018-03/documents/emission-factors_mar_2018_0.pdf" TargetMode="External"/><Relationship Id="rId21" Type="http://schemas.openxmlformats.org/officeDocument/2006/relationships/hyperlink" Target="http://www.oiv.int/public/medias/5519/methodological-ghg-balance.pdf" TargetMode="External"/><Relationship Id="rId7" Type="http://schemas.openxmlformats.org/officeDocument/2006/relationships/hyperlink" Target="http://www.goodcompany.com/" TargetMode="External"/><Relationship Id="rId12" Type="http://schemas.openxmlformats.org/officeDocument/2006/relationships/hyperlink" Target="http://www.herbiguide.com.au/Labels/GLY36_31393-54214.PDF" TargetMode="External"/><Relationship Id="rId17" Type="http://schemas.openxmlformats.org/officeDocument/2006/relationships/hyperlink" Target="http://qtool-web1.nrel.colostate.edu/COMET-Planner_Report_Final.pdf" TargetMode="External"/><Relationship Id="rId25" Type="http://schemas.openxmlformats.org/officeDocument/2006/relationships/hyperlink" Target="https://www.google.com/url?sa=t&amp;rct=j&amp;q=&amp;esrc=s&amp;source=web&amp;cd=&amp;cad=rja&amp;uact=8&amp;ved=2ahUKEwiShenhwfXpAhWaGDQIHcATCh8QFjAAegQIBhAB&amp;url=https%3A%2F%2Fwww.climateactionreserve.org%2Fwp-content%2Fuploads%2F2009%2F03%2FSoil_Sequestration_Biochar_Issue_Paper1.pdf&amp;usg=AOvVaw2H1dFbYyb_qYqOoI52zD16" TargetMode="External"/><Relationship Id="rId2" Type="http://schemas.openxmlformats.org/officeDocument/2006/relationships/hyperlink" Target="https://www.epa.gov/sites/production/files/2018-03/documents/emission-factors_mar_2018_0.pdf" TargetMode="External"/><Relationship Id="rId16" Type="http://schemas.openxmlformats.org/officeDocument/2006/relationships/hyperlink" Target="http://www.oiv.int/public/medias/5519/methodological-ghg-balance.pdf" TargetMode="External"/><Relationship Id="rId20" Type="http://schemas.openxmlformats.org/officeDocument/2006/relationships/hyperlink" Target="http://comet-planner.com/" TargetMode="External"/><Relationship Id="rId29" Type="http://schemas.openxmlformats.org/officeDocument/2006/relationships/drawing" Target="../drawings/drawing1.xml"/><Relationship Id="rId1" Type="http://schemas.openxmlformats.org/officeDocument/2006/relationships/hyperlink" Target="https://www.epa.gov/sites/production/files/2018-03/documents/emission-factors_mar_2018_0.pdf" TargetMode="External"/><Relationship Id="rId6" Type="http://schemas.openxmlformats.org/officeDocument/2006/relationships/hyperlink" Target="http://www.climatechange2013.org/images/report/WG1AR5_ALL_FINAL.pdf" TargetMode="External"/><Relationship Id="rId11" Type="http://schemas.openxmlformats.org/officeDocument/2006/relationships/hyperlink" Target="http://www.oiv.int/public/medias/5519/methodological-ghg-balance.pdf" TargetMode="External"/><Relationship Id="rId24" Type="http://schemas.openxmlformats.org/officeDocument/2006/relationships/hyperlink" Target="http://www.oiv.int/public/medias/5519/methodological-ghg-balance.pdf" TargetMode="External"/><Relationship Id="rId32" Type="http://schemas.microsoft.com/office/2017/10/relationships/threadedComment" Target="../threadedComments/threadedComment1.xml"/><Relationship Id="rId5" Type="http://schemas.openxmlformats.org/officeDocument/2006/relationships/hyperlink" Target="https://www.epa.gov/sites/production/files/2018-03/documents/emission-factors_mar_2018_0.pdf" TargetMode="External"/><Relationship Id="rId15" Type="http://schemas.openxmlformats.org/officeDocument/2006/relationships/hyperlink" Target="http://comet-planner.com/" TargetMode="External"/><Relationship Id="rId23" Type="http://schemas.openxmlformats.org/officeDocument/2006/relationships/hyperlink" Target="https://www.epa.gov/moves/nonroad-technical-reports" TargetMode="External"/><Relationship Id="rId28" Type="http://schemas.openxmlformats.org/officeDocument/2006/relationships/hyperlink" Target="https://www.winespectator.com/articles/how-many-bottles-of-wine-are-made-from-1-acre-of-vineyard-5350" TargetMode="External"/><Relationship Id="rId10" Type="http://schemas.openxmlformats.org/officeDocument/2006/relationships/hyperlink" Target="http://www.linde-gas.com/en/legacy/attachment?files=tcm:Ps17-111483,tcm:s17-111483,tcm:17-111483" TargetMode="External"/><Relationship Id="rId19" Type="http://schemas.openxmlformats.org/officeDocument/2006/relationships/hyperlink" Target="http://qtool-web1.nrel.colostate.edu/COMET-Planner_Report_Final.pdf" TargetMode="External"/><Relationship Id="rId31" Type="http://schemas.openxmlformats.org/officeDocument/2006/relationships/comments" Target="../comments1.xml"/><Relationship Id="rId4" Type="http://schemas.openxmlformats.org/officeDocument/2006/relationships/hyperlink" Target="https://www.epa.gov/sites/production/files/2018-03/documents/emission-factors_mar_2018_0.pdf" TargetMode="External"/><Relationship Id="rId9" Type="http://schemas.openxmlformats.org/officeDocument/2006/relationships/hyperlink" Target="https://www.epa.gov/sites/production/files/2016-03/documents/warm_v14_containers_packaging_non-durable_goods_materials.pdf" TargetMode="External"/><Relationship Id="rId14" Type="http://schemas.openxmlformats.org/officeDocument/2006/relationships/hyperlink" Target="http://qtool-web1.nrel.colostate.edu/COMET-Planner_Report_Final.pdf" TargetMode="External"/><Relationship Id="rId22" Type="http://schemas.openxmlformats.org/officeDocument/2006/relationships/hyperlink" Target="https://www.canr.msu.edu/uploads/236/79117/Compost_for_Midsize_FarmsQuickCourse8pgs.pdf" TargetMode="External"/><Relationship Id="rId27" Type="http://schemas.openxmlformats.org/officeDocument/2006/relationships/hyperlink" Target="https://ucanr.edu/repository/fileaccess.cfm?article=160250&amp;p=RAWITW" TargetMode="External"/><Relationship Id="rId30"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oregon.gov/deq/FilterDocs/PEF-Wine-FullReport.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epa.gov/sites/production/files/2018-03/documents/emission-factors_mar_2018_0.pdf"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epa.gov/energy/egrid-subregion-representational-map" TargetMode="External"/><Relationship Id="rId1" Type="http://schemas.openxmlformats.org/officeDocument/2006/relationships/hyperlink" Target="http://www.sustainablewinegrowing.org/docs/California_Wine_Executive_Summary.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goodcompany.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hyperlink" Target="http://qtool-web1.nrel.colostate.edu/COMET-Planner_Report_Final.pdf" TargetMode="External"/><Relationship Id="rId1" Type="http://schemas.openxmlformats.org/officeDocument/2006/relationships/hyperlink" Target="http://www.oiv.int/public/medias/5519/methodological-ghg-balance.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T501"/>
  <sheetViews>
    <sheetView zoomScale="200" zoomScaleNormal="200" zoomScalePageLayoutView="200" workbookViewId="0">
      <selection activeCell="B1" sqref="B1"/>
    </sheetView>
  </sheetViews>
  <sheetFormatPr baseColWidth="10" defaultColWidth="8.83203125" defaultRowHeight="13" outlineLevelRow="1" x14ac:dyDescent="0.15"/>
  <cols>
    <col min="1" max="1" width="3.6640625" style="21" customWidth="1"/>
    <col min="2" max="2" width="34" style="21" customWidth="1"/>
    <col min="3" max="3" width="13" style="21" customWidth="1"/>
    <col min="4" max="4" width="15.1640625" style="21" customWidth="1"/>
    <col min="5" max="5" width="14.5" style="21" customWidth="1"/>
    <col min="6" max="7" width="12.6640625" style="21" customWidth="1"/>
    <col min="8" max="8" width="14.1640625" style="21" customWidth="1"/>
    <col min="9" max="16" width="12.6640625" style="21" customWidth="1"/>
    <col min="17" max="17" width="2.83203125" style="21" customWidth="1"/>
    <col min="18" max="18" width="12.6640625" style="21" customWidth="1"/>
    <col min="19" max="19" width="41" style="21" bestFit="1" customWidth="1"/>
    <col min="20" max="20" width="2.1640625" style="21" customWidth="1"/>
    <col min="21" max="16384" width="8.83203125" style="21"/>
  </cols>
  <sheetData>
    <row r="1" spans="1:20" ht="35" customHeight="1" x14ac:dyDescent="0.2">
      <c r="A1" s="16"/>
      <c r="B1" s="17" t="s">
        <v>691</v>
      </c>
      <c r="C1" s="16"/>
      <c r="D1" s="16"/>
      <c r="E1" s="16"/>
      <c r="F1" s="16"/>
      <c r="G1" s="16"/>
      <c r="H1" s="16"/>
      <c r="I1" s="16"/>
      <c r="J1" s="16"/>
      <c r="K1" s="16"/>
      <c r="L1" s="16"/>
      <c r="M1" s="16"/>
      <c r="N1" s="16"/>
      <c r="O1" s="16"/>
      <c r="P1" s="16"/>
      <c r="Q1" s="19"/>
      <c r="R1" s="20"/>
      <c r="S1" s="19"/>
      <c r="T1" s="19"/>
    </row>
    <row r="2" spans="1:20" ht="17" x14ac:dyDescent="0.2">
      <c r="A2" s="16"/>
      <c r="B2" s="441" t="s">
        <v>890</v>
      </c>
      <c r="C2" s="16"/>
      <c r="D2" s="16"/>
      <c r="E2" s="16"/>
      <c r="F2" s="16"/>
      <c r="G2" s="16"/>
      <c r="H2" s="16"/>
      <c r="I2" s="16"/>
      <c r="J2" s="16"/>
      <c r="K2" s="16"/>
      <c r="L2" s="16"/>
      <c r="M2" s="16"/>
      <c r="N2" s="16"/>
      <c r="O2" s="16"/>
      <c r="P2" s="16"/>
      <c r="Q2" s="19"/>
      <c r="R2" s="20"/>
      <c r="S2" s="19"/>
      <c r="T2" s="19"/>
    </row>
    <row r="3" spans="1:20" ht="16" x14ac:dyDescent="0.2">
      <c r="A3" s="16"/>
      <c r="B3" s="20" t="s">
        <v>188</v>
      </c>
      <c r="C3" s="16"/>
      <c r="D3" s="16"/>
      <c r="E3" s="16"/>
      <c r="F3" s="16"/>
      <c r="G3" s="16"/>
      <c r="H3" s="16"/>
      <c r="I3" s="16"/>
      <c r="J3" s="16"/>
      <c r="K3" s="16"/>
      <c r="L3" s="16"/>
      <c r="M3" s="16"/>
      <c r="N3" s="16"/>
      <c r="O3" s="16"/>
      <c r="P3" s="16"/>
      <c r="Q3" s="19"/>
      <c r="R3" s="19"/>
      <c r="S3" s="19"/>
      <c r="T3" s="19"/>
    </row>
    <row r="4" spans="1:20" x14ac:dyDescent="0.15">
      <c r="A4" s="16"/>
      <c r="B4" s="19" t="s">
        <v>426</v>
      </c>
      <c r="C4" s="16"/>
      <c r="D4" s="16"/>
      <c r="E4" s="16"/>
      <c r="F4" s="16"/>
      <c r="G4" s="16"/>
      <c r="H4" s="16"/>
      <c r="I4" s="16"/>
      <c r="J4" s="16"/>
      <c r="K4" s="16"/>
      <c r="L4" s="16"/>
      <c r="M4" s="16"/>
      <c r="N4" s="16"/>
      <c r="O4" s="16"/>
      <c r="P4" s="16"/>
      <c r="Q4" s="19"/>
      <c r="R4" s="19"/>
      <c r="S4" s="19"/>
      <c r="T4" s="19"/>
    </row>
    <row r="5" spans="1:20" ht="14" x14ac:dyDescent="0.15">
      <c r="A5" s="16"/>
      <c r="B5" s="444"/>
      <c r="C5" s="23" t="s">
        <v>882</v>
      </c>
      <c r="D5" s="16"/>
      <c r="E5" s="16"/>
      <c r="F5" s="16"/>
      <c r="G5" s="16"/>
      <c r="H5" s="16"/>
      <c r="I5" s="16"/>
      <c r="J5" s="16"/>
      <c r="K5" s="16"/>
      <c r="L5" s="16"/>
      <c r="M5" s="16"/>
      <c r="N5" s="16"/>
      <c r="O5" s="16"/>
      <c r="P5" s="16"/>
      <c r="Q5" s="19"/>
      <c r="R5" s="19"/>
      <c r="S5" s="19"/>
      <c r="T5" s="19"/>
    </row>
    <row r="6" spans="1:20" ht="14" x14ac:dyDescent="0.15">
      <c r="A6" s="16"/>
      <c r="B6" s="22"/>
      <c r="C6" s="23" t="s">
        <v>883</v>
      </c>
      <c r="D6" s="16"/>
      <c r="E6" s="16"/>
      <c r="F6" s="16"/>
      <c r="G6" s="16"/>
      <c r="H6" s="16"/>
      <c r="I6" s="16"/>
      <c r="J6" s="16"/>
      <c r="K6" s="16"/>
      <c r="L6" s="16"/>
      <c r="M6" s="16"/>
      <c r="N6" s="16"/>
      <c r="O6" s="16"/>
      <c r="P6" s="16"/>
      <c r="Q6" s="19"/>
      <c r="R6" s="19"/>
      <c r="S6" s="19"/>
      <c r="T6" s="19"/>
    </row>
    <row r="7" spans="1:20" ht="14" x14ac:dyDescent="0.15">
      <c r="A7" s="16"/>
      <c r="B7" s="24"/>
      <c r="C7" s="23" t="s">
        <v>427</v>
      </c>
      <c r="D7" s="16"/>
      <c r="E7" s="16"/>
      <c r="F7" s="16"/>
      <c r="G7" s="16"/>
      <c r="H7" s="16"/>
      <c r="I7" s="16"/>
      <c r="J7" s="16"/>
      <c r="K7" s="16"/>
      <c r="L7" s="16"/>
      <c r="M7" s="16"/>
      <c r="N7" s="16"/>
      <c r="O7" s="16"/>
      <c r="P7" s="16"/>
      <c r="Q7" s="19"/>
      <c r="R7" s="19"/>
      <c r="S7" s="19"/>
      <c r="T7" s="19"/>
    </row>
    <row r="8" spans="1:20" ht="14" x14ac:dyDescent="0.15">
      <c r="A8" s="16"/>
      <c r="B8" s="25"/>
      <c r="C8" s="23" t="s">
        <v>437</v>
      </c>
      <c r="D8" s="16"/>
      <c r="E8" s="16"/>
      <c r="F8" s="16"/>
      <c r="G8" s="16"/>
      <c r="H8" s="16"/>
      <c r="I8" s="16"/>
      <c r="J8" s="16"/>
      <c r="K8" s="16"/>
      <c r="L8" s="16"/>
      <c r="M8" s="16"/>
      <c r="N8" s="16"/>
      <c r="O8" s="16"/>
      <c r="P8" s="16"/>
      <c r="Q8" s="19"/>
      <c r="R8" s="19"/>
      <c r="S8" s="19"/>
      <c r="T8" s="19"/>
    </row>
    <row r="9" spans="1:20" ht="14" x14ac:dyDescent="0.15">
      <c r="A9" s="16"/>
      <c r="B9" s="16"/>
      <c r="C9" s="23"/>
      <c r="D9" s="16"/>
      <c r="E9" s="16"/>
      <c r="F9" s="16"/>
      <c r="G9" s="16"/>
      <c r="H9" s="16"/>
      <c r="I9" s="16"/>
      <c r="J9" s="16"/>
      <c r="K9" s="16"/>
      <c r="L9" s="16"/>
      <c r="M9" s="16"/>
      <c r="N9" s="16"/>
      <c r="O9" s="16"/>
      <c r="P9" s="16"/>
      <c r="Q9" s="19"/>
      <c r="R9" s="19"/>
      <c r="S9" s="19"/>
      <c r="T9" s="19"/>
    </row>
    <row r="10" spans="1:20" x14ac:dyDescent="0.15">
      <c r="A10" s="16"/>
      <c r="B10" s="19" t="s">
        <v>442</v>
      </c>
      <c r="C10" s="19"/>
      <c r="D10" s="16"/>
      <c r="E10" s="16"/>
      <c r="F10" s="16"/>
      <c r="G10" s="16"/>
      <c r="H10" s="16"/>
      <c r="I10" s="16"/>
      <c r="J10" s="16"/>
      <c r="K10" s="16"/>
      <c r="L10" s="16"/>
      <c r="M10" s="16"/>
      <c r="N10" s="16"/>
      <c r="O10" s="16"/>
      <c r="P10" s="16"/>
      <c r="Q10" s="19"/>
      <c r="R10" s="19"/>
      <c r="S10" s="19"/>
      <c r="T10" s="19"/>
    </row>
    <row r="11" spans="1:20" ht="14" x14ac:dyDescent="0.15">
      <c r="A11" s="16"/>
      <c r="B11" s="26"/>
      <c r="C11" s="27" t="s">
        <v>195</v>
      </c>
      <c r="D11" s="16"/>
      <c r="E11" s="16"/>
      <c r="F11" s="16"/>
      <c r="G11" s="16"/>
      <c r="H11" s="16"/>
      <c r="I11" s="16"/>
      <c r="J11" s="16"/>
      <c r="K11" s="16"/>
      <c r="L11" s="16"/>
      <c r="M11" s="16"/>
      <c r="N11" s="16"/>
      <c r="O11" s="16"/>
      <c r="P11" s="16"/>
      <c r="Q11" s="19"/>
      <c r="R11" s="19"/>
      <c r="S11" s="19"/>
      <c r="T11" s="19"/>
    </row>
    <row r="12" spans="1:20" ht="14" x14ac:dyDescent="0.15">
      <c r="A12" s="16"/>
      <c r="B12" s="28" t="s">
        <v>187</v>
      </c>
      <c r="C12" s="27" t="s">
        <v>191</v>
      </c>
      <c r="D12" s="16"/>
      <c r="E12" s="16"/>
      <c r="F12" s="16"/>
      <c r="G12" s="16"/>
      <c r="H12" s="16"/>
      <c r="I12" s="16"/>
      <c r="J12" s="16"/>
      <c r="K12" s="16"/>
      <c r="L12" s="16"/>
      <c r="M12" s="16"/>
      <c r="N12" s="16"/>
      <c r="O12" s="16"/>
      <c r="P12" s="16"/>
      <c r="Q12" s="19"/>
      <c r="R12" s="19"/>
      <c r="S12" s="19"/>
      <c r="T12" s="19"/>
    </row>
    <row r="13" spans="1:20" ht="14" x14ac:dyDescent="0.15">
      <c r="A13" s="16"/>
      <c r="B13" s="29" t="s">
        <v>193</v>
      </c>
      <c r="C13" s="27" t="s">
        <v>194</v>
      </c>
      <c r="D13" s="16"/>
      <c r="E13" s="16"/>
      <c r="F13" s="16"/>
      <c r="G13" s="16"/>
      <c r="H13" s="16"/>
      <c r="I13" s="16"/>
      <c r="J13" s="16"/>
      <c r="K13" s="16"/>
      <c r="L13" s="16"/>
      <c r="M13" s="16"/>
      <c r="N13" s="16"/>
      <c r="O13" s="16"/>
      <c r="P13" s="16"/>
      <c r="Q13" s="19"/>
      <c r="R13" s="19"/>
      <c r="S13" s="19"/>
      <c r="T13" s="19"/>
    </row>
    <row r="14" spans="1:20" ht="14" x14ac:dyDescent="0.15">
      <c r="A14" s="16"/>
      <c r="B14" s="30" t="s">
        <v>189</v>
      </c>
      <c r="C14" s="27" t="s">
        <v>186</v>
      </c>
      <c r="D14" s="16"/>
      <c r="E14" s="16"/>
      <c r="F14" s="16"/>
      <c r="G14" s="16"/>
      <c r="H14" s="16"/>
      <c r="I14" s="16"/>
      <c r="J14" s="16"/>
      <c r="K14" s="16"/>
      <c r="L14" s="16"/>
      <c r="M14" s="16"/>
      <c r="N14" s="16"/>
      <c r="O14" s="16"/>
      <c r="P14" s="16"/>
      <c r="Q14" s="19"/>
      <c r="R14" s="19"/>
      <c r="S14" s="19"/>
      <c r="T14" s="19"/>
    </row>
    <row r="15" spans="1:20" ht="14" x14ac:dyDescent="0.15">
      <c r="A15" s="16"/>
      <c r="B15" s="31" t="s">
        <v>190</v>
      </c>
      <c r="C15" s="23" t="s">
        <v>213</v>
      </c>
      <c r="D15" s="16"/>
      <c r="E15" s="16"/>
      <c r="F15" s="16"/>
      <c r="G15" s="16"/>
      <c r="H15" s="16"/>
      <c r="I15" s="16"/>
      <c r="J15" s="16"/>
      <c r="K15" s="16"/>
      <c r="L15" s="16"/>
      <c r="M15" s="16"/>
      <c r="N15" s="16"/>
      <c r="O15" s="16"/>
      <c r="P15" s="16"/>
      <c r="Q15" s="19"/>
      <c r="R15" s="19"/>
      <c r="S15" s="19"/>
      <c r="T15" s="19"/>
    </row>
    <row r="16" spans="1:20" x14ac:dyDescent="0.15">
      <c r="A16" s="16"/>
      <c r="B16" s="70" t="s">
        <v>623</v>
      </c>
      <c r="C16" s="16"/>
      <c r="D16" s="16"/>
      <c r="E16" s="16"/>
      <c r="F16" s="16"/>
      <c r="G16" s="16"/>
      <c r="H16" s="16"/>
      <c r="I16" s="16"/>
      <c r="J16" s="16"/>
      <c r="K16" s="16"/>
      <c r="L16" s="16"/>
      <c r="M16" s="16"/>
      <c r="N16" s="16"/>
      <c r="O16" s="16"/>
      <c r="P16" s="16"/>
      <c r="Q16" s="19"/>
      <c r="R16" s="19"/>
      <c r="S16" s="19"/>
      <c r="T16" s="19"/>
    </row>
    <row r="17" spans="1:20" x14ac:dyDescent="0.15">
      <c r="A17" s="16"/>
      <c r="B17" s="70"/>
      <c r="C17" s="16"/>
      <c r="D17" s="16"/>
      <c r="E17" s="16"/>
      <c r="F17" s="16"/>
      <c r="G17" s="16"/>
      <c r="H17" s="16"/>
      <c r="I17" s="16"/>
      <c r="J17" s="16"/>
      <c r="K17" s="16"/>
      <c r="L17" s="16"/>
      <c r="M17" s="16"/>
      <c r="N17" s="16"/>
      <c r="O17" s="16"/>
      <c r="P17" s="16"/>
      <c r="Q17" s="19"/>
      <c r="R17" s="19"/>
      <c r="S17" s="19"/>
      <c r="T17" s="19"/>
    </row>
    <row r="18" spans="1:20" ht="14" x14ac:dyDescent="0.15">
      <c r="A18" s="16"/>
      <c r="B18" s="32" t="s">
        <v>89</v>
      </c>
      <c r="C18" s="16"/>
      <c r="D18" s="16"/>
      <c r="E18" s="16"/>
      <c r="F18" s="16"/>
      <c r="G18" s="16"/>
      <c r="H18" s="16"/>
      <c r="I18" s="16"/>
      <c r="J18" s="16"/>
      <c r="K18" s="16"/>
      <c r="L18" s="16"/>
      <c r="M18" s="16"/>
      <c r="N18" s="16"/>
      <c r="O18" s="16"/>
      <c r="P18" s="16"/>
      <c r="Q18" s="19"/>
      <c r="R18" s="19"/>
      <c r="S18" s="19"/>
      <c r="T18" s="19"/>
    </row>
    <row r="19" spans="1:20" x14ac:dyDescent="0.15">
      <c r="A19" s="16"/>
      <c r="B19" s="18" t="s">
        <v>81</v>
      </c>
      <c r="C19" s="33">
        <f>General!I5</f>
        <v>2025</v>
      </c>
      <c r="D19" s="34" t="s">
        <v>0</v>
      </c>
      <c r="E19" s="34" t="s">
        <v>1</v>
      </c>
      <c r="F19" s="34" t="s">
        <v>2</v>
      </c>
      <c r="G19" s="34" t="s">
        <v>3</v>
      </c>
      <c r="H19" s="34" t="s">
        <v>4</v>
      </c>
      <c r="I19" s="34" t="s">
        <v>5</v>
      </c>
      <c r="J19" s="34" t="s">
        <v>6</v>
      </c>
      <c r="K19" s="34" t="s">
        <v>7</v>
      </c>
      <c r="L19" s="34" t="s">
        <v>8</v>
      </c>
      <c r="M19" s="34" t="s">
        <v>9</v>
      </c>
      <c r="N19" s="34" t="s">
        <v>10</v>
      </c>
      <c r="O19" s="34" t="s">
        <v>11</v>
      </c>
      <c r="P19" s="34" t="s">
        <v>0</v>
      </c>
      <c r="Q19" s="19"/>
      <c r="R19" s="19"/>
      <c r="S19" s="19"/>
      <c r="T19" s="19"/>
    </row>
    <row r="20" spans="1:20" x14ac:dyDescent="0.15">
      <c r="A20" s="19"/>
      <c r="B20" s="35" t="s">
        <v>175</v>
      </c>
      <c r="C20" s="36">
        <f>DATE($C$19,1,1)</f>
        <v>45658</v>
      </c>
      <c r="D20" s="36">
        <f>DATE($C$19,1,1)</f>
        <v>45658</v>
      </c>
      <c r="E20" s="36">
        <f>DATE($C$19,2,1)</f>
        <v>45689</v>
      </c>
      <c r="F20" s="36">
        <f>DATE($C$19,3,1)</f>
        <v>45717</v>
      </c>
      <c r="G20" s="36">
        <f>DATE($C$19,4,1)</f>
        <v>45748</v>
      </c>
      <c r="H20" s="36">
        <f>DATE($C$19,5,1)</f>
        <v>45778</v>
      </c>
      <c r="I20" s="36">
        <f>DATE($C$19,6,1)</f>
        <v>45809</v>
      </c>
      <c r="J20" s="36">
        <f>DATE($C$19,7,1)</f>
        <v>45839</v>
      </c>
      <c r="K20" s="36">
        <f>DATE($C$19,8,1)</f>
        <v>45870</v>
      </c>
      <c r="L20" s="36">
        <f>DATE($C$19,9,1)</f>
        <v>45901</v>
      </c>
      <c r="M20" s="36">
        <f>DATE($C$19,10,1)</f>
        <v>45931</v>
      </c>
      <c r="N20" s="36">
        <f>DATE($C$19,11,1)</f>
        <v>45962</v>
      </c>
      <c r="O20" s="36">
        <f>DATE($C$19,12,1)</f>
        <v>45992</v>
      </c>
      <c r="P20" s="36">
        <f>DATE(($C$19+1),1,1)</f>
        <v>46023</v>
      </c>
      <c r="Q20" s="19"/>
      <c r="R20" s="19"/>
      <c r="S20" s="19"/>
      <c r="T20" s="19"/>
    </row>
    <row r="21" spans="1:20" x14ac:dyDescent="0.15">
      <c r="A21" s="19"/>
      <c r="B21" s="35" t="s">
        <v>176</v>
      </c>
      <c r="C21" s="36">
        <f>DATE($C$19,12,31)</f>
        <v>46022</v>
      </c>
      <c r="D21" s="36">
        <f>EOMONTH(D20,0)</f>
        <v>45688</v>
      </c>
      <c r="E21" s="36">
        <f t="shared" ref="E21:P21" si="0">EOMONTH(E20,0)</f>
        <v>45716</v>
      </c>
      <c r="F21" s="36">
        <f t="shared" si="0"/>
        <v>45747</v>
      </c>
      <c r="G21" s="36">
        <f t="shared" si="0"/>
        <v>45777</v>
      </c>
      <c r="H21" s="36">
        <f t="shared" si="0"/>
        <v>45808</v>
      </c>
      <c r="I21" s="36">
        <f t="shared" si="0"/>
        <v>45838</v>
      </c>
      <c r="J21" s="36">
        <f t="shared" si="0"/>
        <v>45869</v>
      </c>
      <c r="K21" s="36">
        <f t="shared" si="0"/>
        <v>45900</v>
      </c>
      <c r="L21" s="36">
        <f t="shared" si="0"/>
        <v>45930</v>
      </c>
      <c r="M21" s="36">
        <f t="shared" si="0"/>
        <v>45961</v>
      </c>
      <c r="N21" s="36">
        <f t="shared" si="0"/>
        <v>45991</v>
      </c>
      <c r="O21" s="36">
        <f t="shared" si="0"/>
        <v>46022</v>
      </c>
      <c r="P21" s="36">
        <f t="shared" si="0"/>
        <v>46053</v>
      </c>
      <c r="Q21" s="19"/>
      <c r="R21" s="19"/>
      <c r="S21" s="19"/>
      <c r="T21" s="19"/>
    </row>
    <row r="22" spans="1:20" x14ac:dyDescent="0.15">
      <c r="A22" s="19"/>
      <c r="B22" s="19"/>
      <c r="C22" s="19"/>
      <c r="D22" s="19"/>
      <c r="E22" s="19"/>
      <c r="F22" s="19"/>
      <c r="G22" s="19"/>
      <c r="H22" s="19"/>
      <c r="I22" s="19"/>
      <c r="J22" s="19"/>
      <c r="K22" s="19"/>
      <c r="L22" s="19"/>
      <c r="M22" s="19"/>
      <c r="N22" s="19"/>
      <c r="O22" s="19"/>
      <c r="P22" s="19"/>
      <c r="Q22" s="19"/>
      <c r="R22" s="19"/>
      <c r="S22" s="19"/>
      <c r="T22" s="19"/>
    </row>
    <row r="23" spans="1:20" ht="14" x14ac:dyDescent="0.15">
      <c r="A23" s="19"/>
      <c r="B23" s="37" t="s">
        <v>164</v>
      </c>
      <c r="C23" s="19"/>
      <c r="D23" s="19"/>
      <c r="E23" s="19"/>
      <c r="F23" s="19"/>
      <c r="G23" s="19"/>
      <c r="H23" s="19"/>
      <c r="I23" s="19"/>
      <c r="J23" s="19"/>
      <c r="K23" s="19"/>
      <c r="L23" s="19"/>
      <c r="M23" s="19"/>
      <c r="N23" s="19"/>
      <c r="O23" s="19"/>
      <c r="P23" s="19"/>
      <c r="Q23" s="19"/>
      <c r="R23" s="19"/>
      <c r="S23" s="19"/>
      <c r="T23" s="19"/>
    </row>
    <row r="24" spans="1:20" x14ac:dyDescent="0.15">
      <c r="A24" s="19"/>
      <c r="B24" s="35" t="s">
        <v>88</v>
      </c>
      <c r="C24" s="21">
        <v>4.5359236999999999E-4</v>
      </c>
      <c r="D24" s="19"/>
      <c r="E24" s="19"/>
      <c r="F24" s="19"/>
      <c r="G24" s="19"/>
      <c r="H24" s="19"/>
      <c r="I24" s="19"/>
      <c r="J24" s="19"/>
      <c r="K24" s="19"/>
      <c r="L24" s="19"/>
      <c r="M24" s="19"/>
      <c r="N24" s="19"/>
      <c r="O24" s="19"/>
      <c r="P24" s="19"/>
      <c r="Q24" s="19"/>
      <c r="R24" s="19"/>
      <c r="S24" s="19"/>
      <c r="T24" s="19"/>
    </row>
    <row r="25" spans="1:20" x14ac:dyDescent="0.15">
      <c r="A25" s="19"/>
      <c r="B25" s="35" t="s">
        <v>165</v>
      </c>
      <c r="C25" s="38">
        <v>0.90718500000000002</v>
      </c>
      <c r="D25" s="19"/>
      <c r="E25" s="19"/>
      <c r="F25" s="19"/>
      <c r="G25" s="19"/>
      <c r="H25" s="19"/>
      <c r="I25" s="19"/>
      <c r="J25" s="19"/>
      <c r="K25" s="19"/>
      <c r="L25" s="19"/>
      <c r="M25" s="19"/>
      <c r="N25" s="19"/>
      <c r="O25" s="19"/>
      <c r="P25" s="19"/>
      <c r="Q25" s="19"/>
      <c r="R25" s="19"/>
      <c r="S25" s="19"/>
      <c r="T25" s="19"/>
    </row>
    <row r="26" spans="1:20" x14ac:dyDescent="0.15">
      <c r="A26" s="19"/>
      <c r="B26" s="35" t="s">
        <v>402</v>
      </c>
      <c r="C26" s="21">
        <v>5.0000000000000001E-4</v>
      </c>
      <c r="D26" s="19"/>
      <c r="E26" s="19"/>
      <c r="F26" s="19"/>
      <c r="G26" s="19"/>
      <c r="H26" s="19"/>
      <c r="I26" s="19"/>
      <c r="J26" s="19"/>
      <c r="K26" s="19"/>
      <c r="L26" s="19"/>
      <c r="M26" s="19"/>
      <c r="N26" s="19"/>
      <c r="O26" s="19"/>
      <c r="P26" s="19"/>
      <c r="Q26" s="19"/>
      <c r="R26" s="19"/>
      <c r="S26" s="19"/>
      <c r="T26" s="19"/>
    </row>
    <row r="27" spans="1:20" x14ac:dyDescent="0.15">
      <c r="A27" s="19"/>
      <c r="B27" s="35" t="s">
        <v>644</v>
      </c>
      <c r="C27" s="21">
        <v>2.2046199999999998</v>
      </c>
      <c r="D27" s="19"/>
      <c r="E27" s="19"/>
      <c r="F27" s="19"/>
      <c r="G27" s="19"/>
      <c r="H27" s="19"/>
      <c r="I27" s="19"/>
      <c r="J27" s="19"/>
      <c r="K27" s="19"/>
      <c r="L27" s="19"/>
      <c r="M27" s="19"/>
      <c r="N27" s="19"/>
      <c r="O27" s="19"/>
      <c r="P27" s="19"/>
      <c r="Q27" s="19"/>
      <c r="R27" s="19"/>
      <c r="S27" s="19"/>
      <c r="T27" s="19"/>
    </row>
    <row r="28" spans="1:20" x14ac:dyDescent="0.15">
      <c r="A28" s="19"/>
      <c r="B28" s="35"/>
      <c r="C28" s="35"/>
      <c r="D28" s="19"/>
      <c r="E28" s="19"/>
      <c r="F28" s="19"/>
      <c r="G28" s="19"/>
      <c r="H28" s="19"/>
      <c r="I28" s="19"/>
      <c r="J28" s="19"/>
      <c r="K28" s="19"/>
      <c r="L28" s="19"/>
      <c r="M28" s="19"/>
      <c r="N28" s="19"/>
      <c r="O28" s="19"/>
      <c r="P28" s="19"/>
      <c r="Q28" s="19"/>
      <c r="R28" s="19"/>
      <c r="S28" s="19"/>
      <c r="T28" s="19"/>
    </row>
    <row r="29" spans="1:20" ht="14" x14ac:dyDescent="0.15">
      <c r="A29" s="19"/>
      <c r="B29" s="37" t="s">
        <v>319</v>
      </c>
      <c r="C29" s="19"/>
      <c r="D29" s="19"/>
      <c r="E29" s="19"/>
      <c r="F29" s="19"/>
      <c r="G29" s="19"/>
      <c r="H29" s="19"/>
      <c r="I29" s="19"/>
      <c r="J29" s="19"/>
      <c r="K29" s="19"/>
      <c r="L29" s="19"/>
      <c r="M29" s="19"/>
      <c r="N29" s="19"/>
      <c r="O29" s="19"/>
      <c r="P29" s="19"/>
      <c r="Q29" s="19"/>
      <c r="R29" s="19"/>
      <c r="S29" s="19"/>
      <c r="T29" s="19"/>
    </row>
    <row r="30" spans="1:20" hidden="1" outlineLevel="1" x14ac:dyDescent="0.15">
      <c r="A30" s="19"/>
      <c r="B30" s="19"/>
      <c r="C30" s="19"/>
      <c r="D30" s="464" t="s">
        <v>192</v>
      </c>
      <c r="E30" s="466"/>
      <c r="F30" s="466"/>
      <c r="G30" s="466"/>
      <c r="H30" s="466"/>
      <c r="I30" s="466"/>
      <c r="J30" s="465"/>
      <c r="K30" s="464" t="s">
        <v>86</v>
      </c>
      <c r="L30" s="465"/>
      <c r="M30" s="19"/>
      <c r="N30" s="39" t="s">
        <v>485</v>
      </c>
      <c r="O30" s="19"/>
      <c r="P30" s="19"/>
      <c r="Q30" s="19"/>
      <c r="R30" s="19"/>
      <c r="S30" s="19"/>
      <c r="T30" s="19"/>
    </row>
    <row r="31" spans="1:20" s="44" customFormat="1" ht="31" hidden="1" outlineLevel="1" x14ac:dyDescent="0.2">
      <c r="A31" s="40"/>
      <c r="B31" s="41" t="s">
        <v>92</v>
      </c>
      <c r="C31" s="41" t="s">
        <v>94</v>
      </c>
      <c r="D31" s="42" t="s">
        <v>121</v>
      </c>
      <c r="E31" s="41" t="s">
        <v>504</v>
      </c>
      <c r="F31" s="41" t="s">
        <v>505</v>
      </c>
      <c r="G31" s="41" t="s">
        <v>506</v>
      </c>
      <c r="H31" s="41" t="s">
        <v>507</v>
      </c>
      <c r="I31" s="41" t="s">
        <v>508</v>
      </c>
      <c r="J31" s="43" t="s">
        <v>509</v>
      </c>
      <c r="K31" s="42" t="s">
        <v>504</v>
      </c>
      <c r="L31" s="43" t="s">
        <v>507</v>
      </c>
      <c r="M31" s="40"/>
      <c r="N31" s="44" t="s">
        <v>486</v>
      </c>
      <c r="O31" s="40"/>
      <c r="P31" s="40"/>
      <c r="Q31" s="40"/>
      <c r="R31" s="40"/>
      <c r="S31" s="40"/>
      <c r="T31" s="40"/>
    </row>
    <row r="32" spans="1:20" ht="14" hidden="1" outlineLevel="1" x14ac:dyDescent="0.15">
      <c r="A32" s="45"/>
      <c r="B32" s="46" t="s">
        <v>326</v>
      </c>
      <c r="C32" s="47" t="s">
        <v>95</v>
      </c>
      <c r="D32" s="48">
        <v>0.128</v>
      </c>
      <c r="E32" s="49"/>
      <c r="F32" s="50">
        <f>1.1/1000</f>
        <v>1.1000000000000001E-3</v>
      </c>
      <c r="G32" s="50">
        <f>0.11/1000</f>
        <v>1.1E-4</v>
      </c>
      <c r="H32" s="49"/>
      <c r="I32" s="50">
        <f>0.14/1000</f>
        <v>1.4000000000000001E-4</v>
      </c>
      <c r="J32" s="51">
        <f>0.01/1000</f>
        <v>1.0000000000000001E-5</v>
      </c>
      <c r="K32" s="48">
        <v>73.84</v>
      </c>
      <c r="L32" s="51">
        <v>9.4499999999999993</v>
      </c>
      <c r="M32" s="19" t="s">
        <v>484</v>
      </c>
      <c r="N32" s="44" t="str">
        <f>B33</f>
        <v>Butane</v>
      </c>
      <c r="O32" s="19"/>
      <c r="P32" s="19"/>
      <c r="Q32" s="19"/>
      <c r="R32" s="19"/>
      <c r="S32" s="19"/>
      <c r="T32" s="19"/>
    </row>
    <row r="33" spans="1:20" ht="14" hidden="1" outlineLevel="1" x14ac:dyDescent="0.15">
      <c r="A33" s="19"/>
      <c r="B33" s="46" t="s">
        <v>29</v>
      </c>
      <c r="C33" s="47" t="s">
        <v>95</v>
      </c>
      <c r="D33" s="52">
        <v>0.10299999999999999</v>
      </c>
      <c r="E33" s="53">
        <v>64.77</v>
      </c>
      <c r="F33" s="53">
        <f>3/1000</f>
        <v>3.0000000000000001E-3</v>
      </c>
      <c r="G33" s="53">
        <f>0.6/1000</f>
        <v>5.9999999999999995E-4</v>
      </c>
      <c r="H33" s="53">
        <v>6.67</v>
      </c>
      <c r="I33" s="53">
        <f>0.31/1000</f>
        <v>3.1E-4</v>
      </c>
      <c r="J33" s="54">
        <f>0.06/1000</f>
        <v>5.9999999999999995E-5</v>
      </c>
      <c r="K33" s="55"/>
      <c r="L33" s="56"/>
      <c r="M33" s="19" t="s">
        <v>484</v>
      </c>
      <c r="N33" s="44" t="str">
        <f>B37</f>
        <v>Ethane</v>
      </c>
      <c r="O33" s="19"/>
      <c r="P33" s="19"/>
      <c r="Q33" s="19"/>
      <c r="R33" s="19"/>
      <c r="S33" s="19"/>
      <c r="T33" s="19"/>
    </row>
    <row r="34" spans="1:20" hidden="1" outlineLevel="1" x14ac:dyDescent="0.15">
      <c r="A34" s="19"/>
      <c r="B34" s="46" t="s">
        <v>25</v>
      </c>
      <c r="C34" s="47" t="s">
        <v>95</v>
      </c>
      <c r="D34" s="52">
        <v>0.13800000000000001</v>
      </c>
      <c r="E34" s="53">
        <v>74.540000000000006</v>
      </c>
      <c r="F34" s="53">
        <f>3/1000</f>
        <v>3.0000000000000001E-3</v>
      </c>
      <c r="G34" s="53">
        <f>0.6/1000</f>
        <v>5.9999999999999995E-4</v>
      </c>
      <c r="H34" s="53">
        <v>10.29</v>
      </c>
      <c r="I34" s="53">
        <f>0.41/1000</f>
        <v>4.0999999999999999E-4</v>
      </c>
      <c r="J34" s="54">
        <f>0.08/1000</f>
        <v>8.0000000000000007E-5</v>
      </c>
      <c r="K34" s="55"/>
      <c r="L34" s="56"/>
      <c r="M34" s="19" t="s">
        <v>484</v>
      </c>
      <c r="N34" s="21" t="str">
        <f>B39</f>
        <v>Isobutane</v>
      </c>
      <c r="O34" s="19"/>
      <c r="P34" s="19"/>
      <c r="Q34" s="19"/>
      <c r="R34" s="19"/>
      <c r="S34" s="19"/>
      <c r="T34" s="19"/>
    </row>
    <row r="35" spans="1:20" hidden="1" outlineLevel="1" x14ac:dyDescent="0.15">
      <c r="A35" s="19"/>
      <c r="B35" s="46" t="s">
        <v>423</v>
      </c>
      <c r="C35" s="47" t="s">
        <v>95</v>
      </c>
      <c r="D35" s="52"/>
      <c r="E35" s="53"/>
      <c r="F35" s="53"/>
      <c r="G35" s="53"/>
      <c r="H35" s="53">
        <v>10.210000000000001</v>
      </c>
      <c r="I35" s="53"/>
      <c r="J35" s="54"/>
      <c r="K35" s="55"/>
      <c r="L35" s="56"/>
      <c r="M35" s="19" t="s">
        <v>484</v>
      </c>
      <c r="N35" s="21" t="str">
        <f>B40</f>
        <v>Kerosene</v>
      </c>
      <c r="O35" s="19"/>
      <c r="P35" s="19"/>
      <c r="Q35" s="19"/>
      <c r="R35" s="19"/>
      <c r="S35" s="19"/>
      <c r="T35" s="19"/>
    </row>
    <row r="36" spans="1:20" hidden="1" outlineLevel="1" x14ac:dyDescent="0.15">
      <c r="A36" s="19"/>
      <c r="B36" s="46" t="s">
        <v>490</v>
      </c>
      <c r="C36" s="47" t="s">
        <v>95</v>
      </c>
      <c r="D36" s="52">
        <v>0.13800000000000001</v>
      </c>
      <c r="E36" s="53">
        <v>73.959999999999994</v>
      </c>
      <c r="F36" s="53">
        <f>3/1000</f>
        <v>3.0000000000000001E-3</v>
      </c>
      <c r="G36" s="53">
        <f>0.6/1000</f>
        <v>5.9999999999999995E-4</v>
      </c>
      <c r="H36" s="53">
        <v>10.210000000000001</v>
      </c>
      <c r="I36" s="53">
        <f>0.41/1000</f>
        <v>4.0999999999999999E-4</v>
      </c>
      <c r="J36" s="54">
        <f>0.08/1000</f>
        <v>8.0000000000000007E-5</v>
      </c>
      <c r="K36" s="55"/>
      <c r="L36" s="56"/>
      <c r="M36" s="19" t="s">
        <v>484</v>
      </c>
      <c r="N36" s="21" t="str">
        <f>B43</f>
        <v>Lubricants</v>
      </c>
      <c r="O36" s="19"/>
      <c r="P36" s="19"/>
      <c r="Q36" s="19"/>
      <c r="R36" s="19"/>
      <c r="S36" s="19"/>
      <c r="T36" s="19"/>
    </row>
    <row r="37" spans="1:20" hidden="1" outlineLevel="1" x14ac:dyDescent="0.15">
      <c r="A37" s="19"/>
      <c r="B37" s="46" t="s">
        <v>27</v>
      </c>
      <c r="C37" s="47" t="s">
        <v>95</v>
      </c>
      <c r="D37" s="52">
        <v>6.8000000000000005E-2</v>
      </c>
      <c r="E37" s="53">
        <v>59.6</v>
      </c>
      <c r="F37" s="53" t="s">
        <v>133</v>
      </c>
      <c r="G37" s="53">
        <f>0.6/1000</f>
        <v>5.9999999999999995E-4</v>
      </c>
      <c r="H37" s="53">
        <v>4.05</v>
      </c>
      <c r="I37" s="53">
        <f>0.2/1000</f>
        <v>2.0000000000000001E-4</v>
      </c>
      <c r="J37" s="54">
        <f>0.04/1000</f>
        <v>4.0000000000000003E-5</v>
      </c>
      <c r="K37" s="55"/>
      <c r="L37" s="56"/>
      <c r="M37" s="19" t="s">
        <v>484</v>
      </c>
      <c r="N37" s="21" t="str">
        <f>B34</f>
        <v>Crude Oil</v>
      </c>
      <c r="O37" s="19"/>
      <c r="P37" s="19"/>
      <c r="Q37" s="19"/>
      <c r="R37" s="19"/>
      <c r="S37" s="19"/>
      <c r="T37" s="19"/>
    </row>
    <row r="38" spans="1:20" hidden="1" outlineLevel="1" x14ac:dyDescent="0.15">
      <c r="A38" s="45"/>
      <c r="B38" s="46" t="s">
        <v>323</v>
      </c>
      <c r="C38" s="47" t="s">
        <v>95</v>
      </c>
      <c r="D38" s="52">
        <v>8.4000000000000005E-2</v>
      </c>
      <c r="E38" s="57"/>
      <c r="F38" s="53">
        <f>1.1/1000</f>
        <v>1.1000000000000001E-3</v>
      </c>
      <c r="G38" s="53">
        <f>0.11/1000</f>
        <v>1.1E-4</v>
      </c>
      <c r="H38" s="57"/>
      <c r="I38" s="53">
        <f>0.09/1000</f>
        <v>8.9999999999999992E-5</v>
      </c>
      <c r="J38" s="54">
        <f>0.01/1000</f>
        <v>1.0000000000000001E-5</v>
      </c>
      <c r="K38" s="52">
        <v>68.44</v>
      </c>
      <c r="L38" s="54">
        <v>5.75</v>
      </c>
      <c r="M38" s="19" t="s">
        <v>484</v>
      </c>
      <c r="N38" s="21" t="str">
        <f>B46</f>
        <v>Other Oil</v>
      </c>
      <c r="O38" s="19"/>
      <c r="P38" s="19"/>
      <c r="Q38" s="19"/>
      <c r="R38" s="19"/>
      <c r="S38" s="19"/>
      <c r="T38" s="19"/>
    </row>
    <row r="39" spans="1:20" hidden="1" outlineLevel="1" x14ac:dyDescent="0.15">
      <c r="A39" s="19"/>
      <c r="B39" s="46" t="s">
        <v>28</v>
      </c>
      <c r="C39" s="47" t="s">
        <v>95</v>
      </c>
      <c r="D39" s="52">
        <v>9.9000000000000005E-2</v>
      </c>
      <c r="E39" s="53">
        <v>64.94</v>
      </c>
      <c r="F39" s="53">
        <f>3/1000</f>
        <v>3.0000000000000001E-3</v>
      </c>
      <c r="G39" s="53">
        <f>0.6/1000</f>
        <v>5.9999999999999995E-4</v>
      </c>
      <c r="H39" s="53">
        <v>6.43</v>
      </c>
      <c r="I39" s="53">
        <f>0.3/1000</f>
        <v>2.9999999999999997E-4</v>
      </c>
      <c r="J39" s="54">
        <f>0.06/1000</f>
        <v>5.9999999999999995E-5</v>
      </c>
      <c r="K39" s="55"/>
      <c r="L39" s="56"/>
      <c r="M39" s="19" t="s">
        <v>484</v>
      </c>
      <c r="N39" s="21" t="str">
        <f>B44</f>
        <v>Motor Gasoline***</v>
      </c>
      <c r="O39" s="19"/>
      <c r="P39" s="19"/>
      <c r="Q39" s="19"/>
      <c r="R39" s="19"/>
      <c r="S39" s="19"/>
      <c r="T39" s="19"/>
    </row>
    <row r="40" spans="1:20" hidden="1" outlineLevel="1" x14ac:dyDescent="0.15">
      <c r="A40" s="19"/>
      <c r="B40" s="46" t="s">
        <v>24</v>
      </c>
      <c r="C40" s="47" t="s">
        <v>95</v>
      </c>
      <c r="D40" s="52">
        <v>0.13500000000000001</v>
      </c>
      <c r="E40" s="53">
        <v>75.2</v>
      </c>
      <c r="F40" s="53">
        <f>3/1000</f>
        <v>3.0000000000000001E-3</v>
      </c>
      <c r="G40" s="53">
        <f>0.6/1000</f>
        <v>5.9999999999999995E-4</v>
      </c>
      <c r="H40" s="53">
        <v>10.15</v>
      </c>
      <c r="I40" s="53">
        <f>0.41/1000</f>
        <v>4.0999999999999999E-4</v>
      </c>
      <c r="J40" s="54">
        <f>0.08/1000</f>
        <v>8.0000000000000007E-5</v>
      </c>
      <c r="K40" s="55"/>
      <c r="L40" s="56"/>
      <c r="M40" s="19" t="s">
        <v>484</v>
      </c>
      <c r="N40" s="21" t="str">
        <f>B36</f>
        <v>Motor Diesel/Distillate Fuel Oil #2</v>
      </c>
      <c r="O40" s="19"/>
      <c r="P40" s="19"/>
      <c r="Q40" s="19"/>
      <c r="R40" s="19"/>
      <c r="S40" s="19"/>
      <c r="T40" s="19"/>
    </row>
    <row r="41" spans="1:20" hidden="1" outlineLevel="1" x14ac:dyDescent="0.15">
      <c r="A41" s="19"/>
      <c r="B41" s="46" t="s">
        <v>118</v>
      </c>
      <c r="C41" s="47" t="s">
        <v>95</v>
      </c>
      <c r="D41" s="52"/>
      <c r="E41" s="53"/>
      <c r="F41" s="53"/>
      <c r="G41" s="53"/>
      <c r="H41" s="53">
        <v>4.5</v>
      </c>
      <c r="I41" s="53"/>
      <c r="J41" s="54"/>
      <c r="K41" s="55"/>
      <c r="L41" s="56"/>
      <c r="M41" s="19" t="s">
        <v>484</v>
      </c>
      <c r="N41" s="21" t="str">
        <f>B49</f>
        <v>Residual Fuel Oil #6</v>
      </c>
      <c r="O41" s="19"/>
      <c r="P41" s="19"/>
      <c r="Q41" s="19"/>
      <c r="R41" s="19"/>
      <c r="S41" s="19"/>
      <c r="T41" s="19"/>
    </row>
    <row r="42" spans="1:20" hidden="1" outlineLevel="1" x14ac:dyDescent="0.15">
      <c r="A42" s="19"/>
      <c r="B42" s="46" t="s">
        <v>98</v>
      </c>
      <c r="C42" s="47" t="s">
        <v>95</v>
      </c>
      <c r="D42" s="52">
        <v>9.1999999999999998E-2</v>
      </c>
      <c r="E42" s="53">
        <v>61.71</v>
      </c>
      <c r="F42" s="53">
        <f>3/1000</f>
        <v>3.0000000000000001E-3</v>
      </c>
      <c r="G42" s="53">
        <f>0.6/1000</f>
        <v>5.9999999999999995E-4</v>
      </c>
      <c r="H42" s="53">
        <v>5.68</v>
      </c>
      <c r="I42" s="53">
        <f>0.28/1000</f>
        <v>2.8000000000000003E-4</v>
      </c>
      <c r="J42" s="54">
        <f>0.06/1000</f>
        <v>5.9999999999999995E-5</v>
      </c>
      <c r="K42" s="55"/>
      <c r="L42" s="56"/>
      <c r="M42" s="19" t="s">
        <v>484</v>
      </c>
      <c r="N42" s="19"/>
      <c r="O42" s="19"/>
      <c r="P42" s="19"/>
      <c r="Q42" s="19"/>
      <c r="R42" s="19"/>
      <c r="S42" s="19"/>
      <c r="T42" s="19"/>
    </row>
    <row r="43" spans="1:20" hidden="1" outlineLevel="1" x14ac:dyDescent="0.15">
      <c r="A43" s="19"/>
      <c r="B43" s="46" t="s">
        <v>99</v>
      </c>
      <c r="C43" s="47" t="s">
        <v>95</v>
      </c>
      <c r="D43" s="52">
        <v>0.14399999999999999</v>
      </c>
      <c r="E43" s="53">
        <v>74.27</v>
      </c>
      <c r="F43" s="53">
        <f>3/1000</f>
        <v>3.0000000000000001E-3</v>
      </c>
      <c r="G43" s="53">
        <f>0.6/1000</f>
        <v>5.9999999999999995E-4</v>
      </c>
      <c r="H43" s="53">
        <v>10.69</v>
      </c>
      <c r="I43" s="53">
        <f>0.43/1000</f>
        <v>4.2999999999999999E-4</v>
      </c>
      <c r="J43" s="54">
        <f>0.09/1000</f>
        <v>8.9999999999999992E-5</v>
      </c>
      <c r="K43" s="55"/>
      <c r="L43" s="56"/>
      <c r="M43" s="19" t="s">
        <v>484</v>
      </c>
      <c r="N43" s="19"/>
      <c r="O43" s="19"/>
      <c r="P43" s="19"/>
      <c r="Q43" s="19"/>
      <c r="R43" s="19"/>
      <c r="S43" s="19"/>
      <c r="T43" s="19"/>
    </row>
    <row r="44" spans="1:20" hidden="1" outlineLevel="1" x14ac:dyDescent="0.15">
      <c r="A44" s="19"/>
      <c r="B44" s="46" t="s">
        <v>322</v>
      </c>
      <c r="C44" s="47" t="s">
        <v>95</v>
      </c>
      <c r="D44" s="52">
        <v>0.125</v>
      </c>
      <c r="E44" s="53">
        <v>70.22</v>
      </c>
      <c r="F44" s="53">
        <f>3/1000</f>
        <v>3.0000000000000001E-3</v>
      </c>
      <c r="G44" s="53">
        <f>0.6/1000</f>
        <v>5.9999999999999995E-4</v>
      </c>
      <c r="H44" s="53">
        <v>8.7799999999999994</v>
      </c>
      <c r="I44" s="53">
        <f>0.38/1000</f>
        <v>3.8000000000000002E-4</v>
      </c>
      <c r="J44" s="54">
        <f>0.08/1000</f>
        <v>8.0000000000000007E-5</v>
      </c>
      <c r="K44" s="55"/>
      <c r="L44" s="56"/>
      <c r="M44" s="19" t="s">
        <v>484</v>
      </c>
      <c r="N44" s="19"/>
      <c r="O44" s="19"/>
      <c r="P44" s="19"/>
      <c r="Q44" s="19"/>
      <c r="R44" s="19"/>
      <c r="S44" s="19"/>
      <c r="T44" s="19"/>
    </row>
    <row r="45" spans="1:20" hidden="1" outlineLevel="1" x14ac:dyDescent="0.15">
      <c r="A45" s="19"/>
      <c r="B45" s="46" t="s">
        <v>100</v>
      </c>
      <c r="C45" s="47" t="s">
        <v>96</v>
      </c>
      <c r="D45" s="52">
        <v>0.1</v>
      </c>
      <c r="E45" s="53">
        <v>53.06</v>
      </c>
      <c r="F45" s="53">
        <f>1/1000</f>
        <v>1E-3</v>
      </c>
      <c r="G45" s="53">
        <f>0.1/1000</f>
        <v>1E-4</v>
      </c>
      <c r="H45" s="53">
        <f>E45*$D45</f>
        <v>5.3060000000000009</v>
      </c>
      <c r="I45" s="53">
        <f>F45*$D45</f>
        <v>1E-4</v>
      </c>
      <c r="J45" s="54">
        <f>G45*$D45</f>
        <v>1.0000000000000001E-5</v>
      </c>
      <c r="K45" s="55"/>
      <c r="L45" s="56"/>
      <c r="M45" s="19" t="s">
        <v>484</v>
      </c>
      <c r="N45" s="19"/>
      <c r="O45" s="19"/>
      <c r="P45" s="19"/>
      <c r="Q45" s="19"/>
      <c r="R45" s="19"/>
      <c r="S45" s="19"/>
      <c r="T45" s="19"/>
    </row>
    <row r="46" spans="1:20" hidden="1" outlineLevel="1" x14ac:dyDescent="0.15">
      <c r="A46" s="19"/>
      <c r="B46" s="46" t="s">
        <v>101</v>
      </c>
      <c r="C46" s="47" t="s">
        <v>95</v>
      </c>
      <c r="D46" s="52">
        <v>0.13900000000000001</v>
      </c>
      <c r="E46" s="53">
        <v>76.22</v>
      </c>
      <c r="F46" s="53">
        <f>3/1000</f>
        <v>3.0000000000000001E-3</v>
      </c>
      <c r="G46" s="53">
        <f>0.6/1000</f>
        <v>5.9999999999999995E-4</v>
      </c>
      <c r="H46" s="53">
        <v>10.59</v>
      </c>
      <c r="I46" s="53">
        <f>0.42/1000</f>
        <v>4.1999999999999996E-4</v>
      </c>
      <c r="J46" s="54">
        <f>0.08/1000</f>
        <v>8.0000000000000007E-5</v>
      </c>
      <c r="K46" s="55"/>
      <c r="L46" s="56"/>
      <c r="M46" s="19" t="s">
        <v>484</v>
      </c>
      <c r="N46" s="19"/>
      <c r="O46" s="19"/>
      <c r="P46" s="19"/>
      <c r="Q46" s="19"/>
      <c r="R46" s="19"/>
      <c r="S46" s="19"/>
      <c r="T46" s="19"/>
    </row>
    <row r="47" spans="1:20" hidden="1" outlineLevel="1" x14ac:dyDescent="0.15">
      <c r="A47" s="19"/>
      <c r="B47" s="46" t="s">
        <v>26</v>
      </c>
      <c r="C47" s="47" t="s">
        <v>95</v>
      </c>
      <c r="D47" s="52">
        <v>9.0999999999999998E-2</v>
      </c>
      <c r="E47" s="53">
        <v>62.87</v>
      </c>
      <c r="F47" s="53">
        <f>3/1000</f>
        <v>3.0000000000000001E-3</v>
      </c>
      <c r="G47" s="53">
        <f>0.6/1000</f>
        <v>5.9999999999999995E-4</v>
      </c>
      <c r="H47" s="53">
        <v>5.72</v>
      </c>
      <c r="I47" s="53">
        <f>0.27/1000</f>
        <v>2.7E-4</v>
      </c>
      <c r="J47" s="54">
        <f>0.05/1000</f>
        <v>5.0000000000000002E-5</v>
      </c>
      <c r="K47" s="55"/>
      <c r="L47" s="56"/>
      <c r="M47" s="19" t="s">
        <v>484</v>
      </c>
      <c r="N47" s="19"/>
      <c r="O47" s="19"/>
      <c r="P47" s="19"/>
      <c r="Q47" s="19"/>
      <c r="R47" s="19"/>
      <c r="S47" s="19"/>
      <c r="T47" s="19"/>
    </row>
    <row r="48" spans="1:20" hidden="1" outlineLevel="1" x14ac:dyDescent="0.15">
      <c r="A48" s="19"/>
      <c r="B48" s="46" t="s">
        <v>102</v>
      </c>
      <c r="C48" s="47" t="s">
        <v>97</v>
      </c>
      <c r="D48" s="58">
        <v>17.48</v>
      </c>
      <c r="E48" s="59"/>
      <c r="F48" s="60">
        <f>7.2/1000</f>
        <v>7.1999999999999998E-3</v>
      </c>
      <c r="G48" s="60">
        <f>3.6/1000</f>
        <v>3.5999999999999999E-3</v>
      </c>
      <c r="H48" s="59"/>
      <c r="I48" s="60">
        <f>126/1000</f>
        <v>0.126</v>
      </c>
      <c r="J48" s="61">
        <f>63/1000</f>
        <v>6.3E-2</v>
      </c>
      <c r="K48" s="60">
        <v>93.8</v>
      </c>
      <c r="L48" s="61">
        <v>1640</v>
      </c>
      <c r="M48" s="19" t="s">
        <v>484</v>
      </c>
      <c r="N48" s="19"/>
      <c r="O48" s="19"/>
      <c r="P48" s="19"/>
      <c r="Q48" s="19"/>
      <c r="R48" s="19"/>
      <c r="S48" s="19"/>
      <c r="T48" s="19"/>
    </row>
    <row r="49" spans="1:20" hidden="1" outlineLevel="1" x14ac:dyDescent="0.15">
      <c r="A49" s="19"/>
      <c r="B49" s="46" t="s">
        <v>583</v>
      </c>
      <c r="C49" s="47" t="s">
        <v>95</v>
      </c>
      <c r="D49" s="234">
        <v>0.15</v>
      </c>
      <c r="E49" s="237">
        <v>75.099999999999994</v>
      </c>
      <c r="F49" s="236">
        <f>3/1000</f>
        <v>3.0000000000000001E-3</v>
      </c>
      <c r="G49" s="236">
        <f>0.6/1000</f>
        <v>5.9999999999999995E-4</v>
      </c>
      <c r="H49" s="237">
        <v>11.27</v>
      </c>
      <c r="I49" s="236">
        <f>0.45/1000</f>
        <v>4.4999999999999999E-4</v>
      </c>
      <c r="J49" s="236">
        <f>0.09/1000</f>
        <v>8.9999999999999992E-5</v>
      </c>
      <c r="K49" s="234"/>
      <c r="L49" s="235"/>
      <c r="M49" s="19" t="s">
        <v>484</v>
      </c>
      <c r="N49" s="19"/>
      <c r="O49" s="19"/>
      <c r="P49" s="19"/>
      <c r="Q49" s="19"/>
      <c r="R49" s="19"/>
      <c r="S49" s="19"/>
      <c r="T49" s="19"/>
    </row>
    <row r="50" spans="1:20" hidden="1" outlineLevel="1" x14ac:dyDescent="0.15">
      <c r="A50" s="19"/>
      <c r="B50" s="46" t="s">
        <v>321</v>
      </c>
      <c r="C50" s="47" t="s">
        <v>95</v>
      </c>
      <c r="D50" s="231"/>
      <c r="E50" s="232"/>
      <c r="F50" s="232"/>
      <c r="G50" s="232"/>
      <c r="H50" s="232">
        <f>0.95*H36</f>
        <v>9.6995000000000005</v>
      </c>
      <c r="I50" s="232">
        <f>0.95*I36</f>
        <v>3.8949999999999998E-4</v>
      </c>
      <c r="J50" s="232">
        <f>0.95*J36</f>
        <v>7.6000000000000004E-5</v>
      </c>
      <c r="K50" s="231">
        <f>0.05*K32</f>
        <v>3.6920000000000002</v>
      </c>
      <c r="L50" s="233">
        <f>0.05*L32</f>
        <v>0.47249999999999998</v>
      </c>
      <c r="M50" s="19" t="s">
        <v>489</v>
      </c>
      <c r="N50" s="19"/>
      <c r="O50" s="19"/>
      <c r="P50" s="19"/>
      <c r="Q50" s="19"/>
      <c r="R50" s="19"/>
      <c r="S50" s="19"/>
      <c r="T50" s="19"/>
    </row>
    <row r="51" spans="1:20" hidden="1" outlineLevel="1" x14ac:dyDescent="0.15">
      <c r="A51" s="19"/>
      <c r="B51" s="46" t="s">
        <v>325</v>
      </c>
      <c r="C51" s="47" t="s">
        <v>95</v>
      </c>
      <c r="D51" s="231"/>
      <c r="E51" s="232"/>
      <c r="F51" s="232"/>
      <c r="G51" s="232"/>
      <c r="H51" s="232">
        <f>0.8*H36</f>
        <v>8.168000000000001</v>
      </c>
      <c r="I51" s="232">
        <f>0.8*I36</f>
        <v>3.28E-4</v>
      </c>
      <c r="J51" s="232">
        <f>0.8*J36</f>
        <v>6.4000000000000011E-5</v>
      </c>
      <c r="K51" s="231">
        <f>0.2*K32</f>
        <v>14.768000000000001</v>
      </c>
      <c r="L51" s="233">
        <f>0.2*L32</f>
        <v>1.89</v>
      </c>
      <c r="M51" s="19" t="s">
        <v>489</v>
      </c>
      <c r="N51" s="19"/>
      <c r="O51" s="19"/>
      <c r="P51" s="19"/>
      <c r="Q51" s="19"/>
      <c r="R51" s="19"/>
      <c r="S51" s="19"/>
      <c r="T51" s="19"/>
    </row>
    <row r="52" spans="1:20" hidden="1" outlineLevel="1" x14ac:dyDescent="0.15">
      <c r="A52" s="19"/>
      <c r="B52" s="46" t="s">
        <v>84</v>
      </c>
      <c r="C52" s="47" t="s">
        <v>95</v>
      </c>
      <c r="D52" s="231"/>
      <c r="E52" s="232"/>
      <c r="F52" s="232"/>
      <c r="G52" s="232"/>
      <c r="H52" s="232">
        <f>0.5*H36</f>
        <v>5.1050000000000004</v>
      </c>
      <c r="I52" s="232">
        <f>0.5*I36</f>
        <v>2.05E-4</v>
      </c>
      <c r="J52" s="232">
        <f>0.5*J36</f>
        <v>4.0000000000000003E-5</v>
      </c>
      <c r="K52" s="231">
        <f>0.5*K32</f>
        <v>36.92</v>
      </c>
      <c r="L52" s="233">
        <f>0.5*L32</f>
        <v>4.7249999999999996</v>
      </c>
      <c r="M52" s="19" t="s">
        <v>489</v>
      </c>
      <c r="N52" s="19"/>
      <c r="O52" s="19"/>
      <c r="P52" s="19"/>
      <c r="Q52" s="19"/>
      <c r="R52" s="19"/>
      <c r="S52" s="19"/>
      <c r="T52" s="19"/>
    </row>
    <row r="53" spans="1:20" hidden="1" outlineLevel="1" x14ac:dyDescent="0.15">
      <c r="A53" s="19"/>
      <c r="B53" s="46" t="s">
        <v>320</v>
      </c>
      <c r="C53" s="47" t="s">
        <v>95</v>
      </c>
      <c r="D53" s="231"/>
      <c r="E53" s="232"/>
      <c r="F53" s="232"/>
      <c r="G53" s="232"/>
      <c r="H53" s="232">
        <f>0.9*H44</f>
        <v>7.9019999999999992</v>
      </c>
      <c r="I53" s="232">
        <f>0.9*I44</f>
        <v>3.4200000000000002E-4</v>
      </c>
      <c r="J53" s="232">
        <f>0.9*J44</f>
        <v>7.2000000000000002E-5</v>
      </c>
      <c r="K53" s="231">
        <f>0.1*K38</f>
        <v>6.8440000000000003</v>
      </c>
      <c r="L53" s="233">
        <f>0.1*L38</f>
        <v>0.57500000000000007</v>
      </c>
      <c r="M53" s="19" t="s">
        <v>489</v>
      </c>
      <c r="N53" s="19"/>
      <c r="O53" s="19"/>
      <c r="P53" s="19"/>
      <c r="Q53" s="19"/>
      <c r="R53" s="19"/>
      <c r="S53" s="19"/>
      <c r="T53" s="19"/>
    </row>
    <row r="54" spans="1:20" hidden="1" outlineLevel="1" x14ac:dyDescent="0.15">
      <c r="A54" s="19"/>
      <c r="B54" s="46" t="s">
        <v>324</v>
      </c>
      <c r="C54" s="47" t="s">
        <v>95</v>
      </c>
      <c r="D54" s="231"/>
      <c r="E54" s="232"/>
      <c r="F54" s="232"/>
      <c r="G54" s="232"/>
      <c r="H54" s="232">
        <f>0.15*H44</f>
        <v>1.3169999999999999</v>
      </c>
      <c r="I54" s="232">
        <f>0.15*I44</f>
        <v>5.7000000000000003E-5</v>
      </c>
      <c r="J54" s="232">
        <f>0.15*J44</f>
        <v>1.2E-5</v>
      </c>
      <c r="K54" s="231">
        <f>0.85*K38</f>
        <v>58.173999999999999</v>
      </c>
      <c r="L54" s="233">
        <f>0.85*L38</f>
        <v>4.8875000000000002</v>
      </c>
      <c r="M54" s="19" t="s">
        <v>489</v>
      </c>
      <c r="N54" s="19"/>
      <c r="O54" s="19"/>
      <c r="P54" s="19"/>
      <c r="Q54" s="19"/>
      <c r="R54" s="19"/>
      <c r="S54" s="19"/>
      <c r="T54" s="19"/>
    </row>
    <row r="55" spans="1:20" hidden="1" outlineLevel="1" x14ac:dyDescent="0.15">
      <c r="A55" s="19"/>
      <c r="B55" s="46" t="s">
        <v>585</v>
      </c>
      <c r="C55" s="47" t="s">
        <v>95</v>
      </c>
      <c r="D55" s="62"/>
      <c r="E55" s="63"/>
      <c r="F55" s="63"/>
      <c r="G55" s="63"/>
      <c r="H55" s="232">
        <f>0.01*H36</f>
        <v>0.10210000000000001</v>
      </c>
      <c r="I55" s="232">
        <f>0.01*I36</f>
        <v>4.0999999999999997E-6</v>
      </c>
      <c r="J55" s="232">
        <f>0.01*J36</f>
        <v>8.0000000000000007E-7</v>
      </c>
      <c r="K55" s="231">
        <f>0.99*K38</f>
        <v>67.755600000000001</v>
      </c>
      <c r="L55" s="233">
        <f>0.99*L38</f>
        <v>5.6924999999999999</v>
      </c>
      <c r="M55" s="19" t="s">
        <v>584</v>
      </c>
      <c r="N55" s="19"/>
      <c r="O55" s="19"/>
      <c r="P55" s="19"/>
      <c r="Q55" s="19"/>
      <c r="R55" s="19"/>
      <c r="S55" s="19"/>
      <c r="T55" s="19"/>
    </row>
    <row r="56" spans="1:20" hidden="1" outlineLevel="1" x14ac:dyDescent="0.15">
      <c r="A56" s="19"/>
      <c r="B56" s="46" t="s">
        <v>486</v>
      </c>
      <c r="C56" s="47" t="s">
        <v>487</v>
      </c>
      <c r="D56" s="64">
        <v>0</v>
      </c>
      <c r="E56" s="65">
        <v>0</v>
      </c>
      <c r="F56" s="65">
        <v>0</v>
      </c>
      <c r="G56" s="65">
        <v>0</v>
      </c>
      <c r="H56" s="65">
        <v>0</v>
      </c>
      <c r="I56" s="65">
        <v>0</v>
      </c>
      <c r="J56" s="65">
        <v>0</v>
      </c>
      <c r="K56" s="65">
        <v>0</v>
      </c>
      <c r="L56" s="66">
        <v>0</v>
      </c>
      <c r="M56" s="19" t="s">
        <v>488</v>
      </c>
      <c r="N56" s="19"/>
      <c r="O56" s="19"/>
      <c r="P56" s="19"/>
      <c r="Q56" s="19"/>
      <c r="R56" s="19"/>
      <c r="S56" s="19"/>
      <c r="T56" s="19"/>
    </row>
    <row r="57" spans="1:20" hidden="1" outlineLevel="1" x14ac:dyDescent="0.15">
      <c r="A57" s="19"/>
      <c r="B57" s="19" t="s">
        <v>586</v>
      </c>
      <c r="C57" s="19"/>
      <c r="D57" s="19"/>
      <c r="E57" s="19"/>
      <c r="F57" s="19"/>
      <c r="G57" s="19"/>
      <c r="H57" s="19"/>
      <c r="I57" s="19"/>
      <c r="J57" s="19"/>
      <c r="K57" s="19"/>
      <c r="L57" s="19"/>
      <c r="M57" s="19"/>
      <c r="N57" s="19"/>
      <c r="O57" s="19"/>
      <c r="P57" s="19"/>
      <c r="Q57" s="19"/>
      <c r="R57" s="19"/>
      <c r="S57" s="19"/>
      <c r="T57" s="19"/>
    </row>
    <row r="58" spans="1:20" hidden="1" outlineLevel="1" x14ac:dyDescent="0.15">
      <c r="A58" s="19"/>
      <c r="B58" s="67" t="s">
        <v>483</v>
      </c>
      <c r="C58" s="68"/>
      <c r="D58" s="68"/>
      <c r="E58" s="68"/>
      <c r="F58" s="68"/>
      <c r="G58" s="68"/>
      <c r="H58" s="68"/>
      <c r="I58" s="68"/>
      <c r="J58" s="68"/>
      <c r="K58" s="68"/>
      <c r="L58" s="68"/>
      <c r="M58" s="68"/>
      <c r="N58" s="68"/>
      <c r="O58" s="68"/>
      <c r="P58" s="68"/>
      <c r="Q58" s="19"/>
      <c r="R58" s="19"/>
      <c r="S58" s="19"/>
      <c r="T58" s="19"/>
    </row>
    <row r="59" spans="1:20" ht="14" hidden="1" outlineLevel="1" x14ac:dyDescent="0.15">
      <c r="A59" s="19"/>
      <c r="B59" s="69" t="s">
        <v>202</v>
      </c>
      <c r="C59" s="68"/>
      <c r="D59" s="68"/>
      <c r="E59" s="68"/>
      <c r="F59" s="68"/>
      <c r="G59" s="68"/>
      <c r="H59" s="68"/>
      <c r="I59" s="68"/>
      <c r="J59" s="68"/>
      <c r="K59" s="68"/>
      <c r="L59" s="68"/>
      <c r="M59" s="68"/>
      <c r="N59" s="68"/>
      <c r="O59" s="68"/>
      <c r="P59" s="68"/>
      <c r="Q59" s="19"/>
      <c r="R59" s="19"/>
      <c r="S59" s="19"/>
      <c r="T59" s="19"/>
    </row>
    <row r="60" spans="1:20" ht="14" collapsed="1" x14ac:dyDescent="0.15">
      <c r="A60" s="19"/>
      <c r="B60" s="70" t="s">
        <v>112</v>
      </c>
      <c r="C60" s="19"/>
      <c r="D60" s="71"/>
      <c r="E60" s="71"/>
      <c r="F60" s="71"/>
      <c r="G60" s="71"/>
      <c r="H60" s="71"/>
      <c r="I60" s="71"/>
      <c r="J60" s="27"/>
      <c r="K60" s="27"/>
      <c r="L60" s="27"/>
      <c r="M60" s="19"/>
      <c r="N60" s="19"/>
      <c r="O60" s="19"/>
      <c r="P60" s="19"/>
      <c r="Q60" s="19"/>
      <c r="R60" s="19"/>
      <c r="S60" s="19"/>
      <c r="T60" s="19"/>
    </row>
    <row r="61" spans="1:20" ht="14" x14ac:dyDescent="0.15">
      <c r="A61" s="19"/>
      <c r="B61" s="72"/>
      <c r="C61" s="19"/>
      <c r="D61" s="71"/>
      <c r="E61" s="71"/>
      <c r="F61" s="71"/>
      <c r="G61" s="71"/>
      <c r="H61" s="71"/>
      <c r="I61" s="71"/>
      <c r="J61" s="27"/>
      <c r="K61" s="27"/>
      <c r="L61" s="27"/>
      <c r="M61" s="19"/>
      <c r="N61" s="19"/>
      <c r="O61" s="19"/>
      <c r="P61" s="19"/>
      <c r="Q61" s="19"/>
      <c r="R61" s="19"/>
      <c r="S61" s="19"/>
      <c r="T61" s="19"/>
    </row>
    <row r="62" spans="1:20" ht="14" x14ac:dyDescent="0.15">
      <c r="A62" s="19"/>
      <c r="B62" s="37" t="s">
        <v>181</v>
      </c>
      <c r="C62" s="19"/>
      <c r="D62" s="71"/>
      <c r="E62" s="71"/>
      <c r="F62" s="71"/>
      <c r="G62" s="71"/>
      <c r="H62" s="71"/>
      <c r="I62" s="71"/>
      <c r="J62" s="27"/>
      <c r="K62" s="27"/>
      <c r="L62" s="27"/>
      <c r="M62" s="19"/>
      <c r="N62" s="19"/>
      <c r="O62" s="19"/>
      <c r="P62" s="19"/>
      <c r="Q62" s="19"/>
      <c r="R62" s="19"/>
      <c r="S62" s="19"/>
      <c r="T62" s="19"/>
    </row>
    <row r="63" spans="1:20" ht="14" hidden="1" outlineLevel="1" x14ac:dyDescent="0.15">
      <c r="A63" s="19"/>
      <c r="B63" s="37"/>
      <c r="C63" s="73" t="s">
        <v>90</v>
      </c>
      <c r="D63" s="71" t="s">
        <v>184</v>
      </c>
      <c r="E63" s="71" t="s">
        <v>183</v>
      </c>
      <c r="F63" s="71"/>
      <c r="G63" s="71"/>
      <c r="H63" s="71"/>
      <c r="I63" s="71"/>
      <c r="J63" s="27"/>
      <c r="K63" s="27"/>
      <c r="L63" s="27"/>
      <c r="M63" s="19"/>
      <c r="N63" s="19"/>
      <c r="O63" s="19"/>
      <c r="P63" s="19"/>
      <c r="Q63" s="19"/>
      <c r="R63" s="19"/>
      <c r="S63" s="19"/>
      <c r="T63" s="19"/>
    </row>
    <row r="64" spans="1:20" ht="14" hidden="1" outlineLevel="1" x14ac:dyDescent="0.15">
      <c r="A64" s="19"/>
      <c r="B64" s="35" t="s">
        <v>182</v>
      </c>
      <c r="C64" s="74">
        <v>655.4</v>
      </c>
      <c r="D64" s="75">
        <f>C64*$C$24</f>
        <v>0.29728443929799997</v>
      </c>
      <c r="E64" s="75">
        <f>D64</f>
        <v>0.29728443929799997</v>
      </c>
      <c r="F64" s="71"/>
      <c r="G64" s="71"/>
      <c r="H64" s="71"/>
      <c r="I64" s="71"/>
      <c r="J64" s="27"/>
      <c r="K64" s="27"/>
      <c r="L64" s="27"/>
      <c r="M64" s="19"/>
      <c r="N64" s="19"/>
      <c r="O64" s="19"/>
      <c r="P64" s="19"/>
      <c r="Q64" s="19"/>
      <c r="R64" s="19"/>
      <c r="S64" s="19"/>
      <c r="T64" s="19"/>
    </row>
    <row r="65" spans="1:20" ht="15" hidden="1" outlineLevel="1" x14ac:dyDescent="0.2">
      <c r="A65" s="19"/>
      <c r="B65" s="46" t="s">
        <v>510</v>
      </c>
      <c r="C65" s="74">
        <v>651.20000000000005</v>
      </c>
      <c r="D65" s="75">
        <f>C65*$C$24</f>
        <v>0.29537935134400001</v>
      </c>
      <c r="E65" s="75">
        <f>D65</f>
        <v>0.29537935134400001</v>
      </c>
      <c r="F65" s="71"/>
      <c r="G65" s="71"/>
      <c r="H65" s="71"/>
      <c r="I65" s="71"/>
      <c r="J65" s="27"/>
      <c r="K65" s="27"/>
      <c r="L65" s="27"/>
      <c r="M65" s="19"/>
      <c r="N65" s="19"/>
      <c r="O65" s="19"/>
      <c r="P65" s="19"/>
      <c r="Q65" s="19"/>
      <c r="R65" s="19"/>
      <c r="S65" s="19"/>
      <c r="T65" s="19"/>
    </row>
    <row r="66" spans="1:20" ht="15" hidden="1" outlineLevel="1" x14ac:dyDescent="0.2">
      <c r="A66" s="19"/>
      <c r="B66" s="46" t="s">
        <v>511</v>
      </c>
      <c r="C66" s="74">
        <v>6.0999999999999999E-2</v>
      </c>
      <c r="D66" s="75">
        <f>C66*$C$24</f>
        <v>2.7669134569999999E-5</v>
      </c>
      <c r="E66" s="75">
        <f>D66*$C$75</f>
        <v>7.7473576795999998E-4</v>
      </c>
      <c r="F66" s="71"/>
      <c r="G66" s="71"/>
      <c r="H66" s="71"/>
      <c r="I66" s="71"/>
      <c r="J66" s="27"/>
      <c r="K66" s="27"/>
      <c r="L66" s="27"/>
      <c r="M66" s="19"/>
      <c r="N66" s="19"/>
      <c r="O66" s="19"/>
      <c r="P66" s="19"/>
      <c r="Q66" s="19"/>
      <c r="R66" s="19"/>
      <c r="S66" s="19"/>
      <c r="T66" s="19"/>
    </row>
    <row r="67" spans="1:20" ht="15" hidden="1" outlineLevel="1" x14ac:dyDescent="0.2">
      <c r="A67" s="19"/>
      <c r="B67" s="46" t="s">
        <v>512</v>
      </c>
      <c r="C67" s="74">
        <v>8.9999999999999993E-3</v>
      </c>
      <c r="D67" s="75">
        <f>C67*$C$24</f>
        <v>4.0823313299999998E-6</v>
      </c>
      <c r="E67" s="75">
        <f>D67*$C$76</f>
        <v>1.08181780245E-3</v>
      </c>
      <c r="F67" s="71"/>
      <c r="G67" s="71"/>
      <c r="H67" s="71"/>
      <c r="I67" s="71"/>
      <c r="J67" s="27"/>
      <c r="K67" s="27"/>
      <c r="L67" s="27"/>
      <c r="M67" s="19"/>
      <c r="N67" s="19"/>
      <c r="O67" s="19"/>
      <c r="P67" s="19"/>
      <c r="Q67" s="19"/>
      <c r="R67" s="19"/>
      <c r="S67" s="19"/>
      <c r="T67" s="19"/>
    </row>
    <row r="68" spans="1:20" ht="14" hidden="1" outlineLevel="1" x14ac:dyDescent="0.15">
      <c r="A68" s="19"/>
      <c r="B68" s="76" t="s">
        <v>212</v>
      </c>
      <c r="C68" s="68"/>
      <c r="D68" s="68"/>
      <c r="E68" s="68"/>
      <c r="F68" s="77"/>
      <c r="G68" s="77"/>
      <c r="H68" s="77"/>
      <c r="I68" s="77"/>
      <c r="J68" s="78"/>
      <c r="K68" s="78"/>
      <c r="L68" s="78"/>
      <c r="M68" s="68"/>
      <c r="N68" s="68"/>
      <c r="O68" s="68"/>
      <c r="P68" s="68"/>
      <c r="Q68" s="19"/>
      <c r="R68" s="19"/>
      <c r="S68" s="19"/>
      <c r="T68" s="19"/>
    </row>
    <row r="69" spans="1:20" ht="14" hidden="1" outlineLevel="1" x14ac:dyDescent="0.15">
      <c r="A69" s="19"/>
      <c r="B69" s="79" t="s">
        <v>202</v>
      </c>
      <c r="C69" s="68"/>
      <c r="D69" s="77"/>
      <c r="E69" s="77"/>
      <c r="F69" s="77"/>
      <c r="G69" s="77"/>
      <c r="H69" s="77"/>
      <c r="I69" s="77"/>
      <c r="J69" s="78"/>
      <c r="K69" s="78"/>
      <c r="L69" s="78"/>
      <c r="M69" s="68"/>
      <c r="N69" s="68"/>
      <c r="O69" s="68"/>
      <c r="P69" s="68"/>
      <c r="Q69" s="19"/>
      <c r="R69" s="19"/>
      <c r="S69" s="19"/>
      <c r="T69" s="19"/>
    </row>
    <row r="70" spans="1:20" ht="14" collapsed="1" x14ac:dyDescent="0.15">
      <c r="A70" s="19"/>
      <c r="B70" s="70" t="s">
        <v>112</v>
      </c>
      <c r="C70" s="80"/>
      <c r="D70" s="71"/>
      <c r="E70" s="71"/>
      <c r="F70" s="71"/>
      <c r="G70" s="71"/>
      <c r="H70" s="71"/>
      <c r="I70" s="71"/>
      <c r="J70" s="27"/>
      <c r="K70" s="27"/>
      <c r="L70" s="27"/>
      <c r="M70" s="19"/>
      <c r="N70" s="19"/>
      <c r="O70" s="19"/>
      <c r="P70" s="19"/>
      <c r="Q70" s="19"/>
      <c r="R70" s="19"/>
      <c r="S70" s="19"/>
      <c r="T70" s="19"/>
    </row>
    <row r="71" spans="1:20" x14ac:dyDescent="0.15">
      <c r="A71" s="19"/>
      <c r="B71" s="35"/>
      <c r="C71" s="19"/>
      <c r="D71" s="19"/>
      <c r="E71" s="19"/>
      <c r="F71" s="19"/>
      <c r="G71" s="19"/>
      <c r="H71" s="19"/>
      <c r="I71" s="19"/>
      <c r="J71" s="19"/>
      <c r="K71" s="19"/>
      <c r="L71" s="19"/>
      <c r="M71" s="19"/>
      <c r="N71" s="19"/>
      <c r="O71" s="19"/>
      <c r="P71" s="19"/>
      <c r="Q71" s="19"/>
      <c r="R71" s="19"/>
      <c r="S71" s="19"/>
      <c r="T71" s="19"/>
    </row>
    <row r="72" spans="1:20" ht="14" x14ac:dyDescent="0.15">
      <c r="A72" s="19"/>
      <c r="B72" s="37" t="s">
        <v>305</v>
      </c>
      <c r="C72" s="19"/>
      <c r="D72" s="19"/>
      <c r="E72" s="19"/>
      <c r="F72" s="19"/>
      <c r="G72" s="19"/>
      <c r="H72" s="19"/>
      <c r="I72" s="19"/>
      <c r="J72" s="19"/>
      <c r="K72" s="19"/>
      <c r="L72" s="19"/>
      <c r="M72" s="19"/>
      <c r="N72" s="19"/>
      <c r="O72" s="19"/>
      <c r="P72" s="19"/>
      <c r="Q72" s="19"/>
      <c r="R72" s="19"/>
      <c r="S72" s="19"/>
      <c r="T72" s="19"/>
    </row>
    <row r="73" spans="1:20" hidden="1" outlineLevel="1" x14ac:dyDescent="0.15">
      <c r="A73" s="19"/>
      <c r="B73" s="35" t="s">
        <v>91</v>
      </c>
      <c r="C73" s="35" t="s">
        <v>210</v>
      </c>
      <c r="D73" s="19"/>
      <c r="E73" s="19"/>
      <c r="F73" s="19"/>
      <c r="G73" s="19"/>
      <c r="H73" s="19"/>
      <c r="I73" s="19"/>
      <c r="J73" s="19"/>
      <c r="K73" s="19"/>
      <c r="L73" s="19"/>
      <c r="M73" s="19"/>
      <c r="N73" s="19"/>
      <c r="O73" s="19"/>
      <c r="P73" s="19"/>
      <c r="Q73" s="19"/>
      <c r="R73" s="19"/>
      <c r="S73" s="19"/>
      <c r="T73" s="19"/>
    </row>
    <row r="74" spans="1:20" ht="15" hidden="1" outlineLevel="1" x14ac:dyDescent="0.2">
      <c r="A74" s="19"/>
      <c r="B74" s="46" t="s">
        <v>510</v>
      </c>
      <c r="C74" s="81">
        <v>1</v>
      </c>
      <c r="D74" s="19" t="s">
        <v>204</v>
      </c>
      <c r="E74" s="19"/>
      <c r="F74" s="19"/>
      <c r="G74" s="19"/>
      <c r="H74" s="19"/>
      <c r="I74" s="19"/>
      <c r="J74" s="19"/>
      <c r="K74" s="19"/>
      <c r="L74" s="19"/>
      <c r="M74" s="19"/>
      <c r="N74" s="19"/>
      <c r="O74" s="19"/>
      <c r="P74" s="19"/>
      <c r="Q74" s="19"/>
      <c r="R74" s="19"/>
      <c r="S74" s="19"/>
      <c r="T74" s="19"/>
    </row>
    <row r="75" spans="1:20" ht="15" hidden="1" outlineLevel="1" x14ac:dyDescent="0.2">
      <c r="A75" s="19"/>
      <c r="B75" s="46" t="s">
        <v>511</v>
      </c>
      <c r="C75" s="74">
        <v>28</v>
      </c>
      <c r="D75" s="19" t="s">
        <v>204</v>
      </c>
      <c r="E75" s="19"/>
      <c r="F75" s="19"/>
      <c r="G75" s="19"/>
      <c r="H75" s="19"/>
      <c r="I75" s="19"/>
      <c r="J75" s="19"/>
      <c r="K75" s="19"/>
      <c r="L75" s="19"/>
      <c r="M75" s="19"/>
      <c r="N75" s="19"/>
      <c r="O75" s="19"/>
      <c r="P75" s="19"/>
      <c r="Q75" s="19"/>
      <c r="R75" s="19"/>
      <c r="S75" s="19"/>
      <c r="T75" s="19"/>
    </row>
    <row r="76" spans="1:20" ht="15" hidden="1" outlineLevel="1" x14ac:dyDescent="0.2">
      <c r="A76" s="19"/>
      <c r="B76" s="46" t="s">
        <v>512</v>
      </c>
      <c r="C76" s="74">
        <v>265</v>
      </c>
      <c r="D76" s="19" t="s">
        <v>204</v>
      </c>
      <c r="E76" s="19"/>
      <c r="F76" s="19"/>
      <c r="G76" s="19"/>
      <c r="H76" s="19"/>
      <c r="I76" s="19"/>
      <c r="J76" s="19"/>
      <c r="K76" s="19"/>
      <c r="L76" s="19"/>
      <c r="M76" s="19"/>
      <c r="N76" s="19"/>
      <c r="O76" s="19"/>
      <c r="P76" s="19"/>
      <c r="Q76" s="19"/>
      <c r="R76" s="19"/>
      <c r="S76" s="19"/>
      <c r="T76" s="19"/>
    </row>
    <row r="77" spans="1:20" hidden="1" outlineLevel="1" x14ac:dyDescent="0.15">
      <c r="A77" s="19"/>
      <c r="B77" s="46"/>
      <c r="C77" s="80"/>
      <c r="D77" s="80"/>
      <c r="E77" s="19"/>
      <c r="F77" s="19"/>
      <c r="G77" s="19"/>
      <c r="H77" s="19"/>
      <c r="I77" s="19"/>
      <c r="J77" s="19"/>
      <c r="K77" s="19"/>
      <c r="L77" s="19"/>
      <c r="M77" s="19"/>
      <c r="N77" s="19"/>
      <c r="O77" s="19"/>
      <c r="P77" s="19"/>
      <c r="Q77" s="19"/>
      <c r="R77" s="19"/>
      <c r="S77" s="19"/>
      <c r="T77" s="19"/>
    </row>
    <row r="78" spans="1:20" hidden="1" outlineLevel="1" x14ac:dyDescent="0.15">
      <c r="A78" s="19"/>
      <c r="B78" s="35" t="s">
        <v>111</v>
      </c>
      <c r="C78" s="35" t="s">
        <v>210</v>
      </c>
      <c r="D78" s="16" t="s">
        <v>421</v>
      </c>
      <c r="E78" s="19"/>
      <c r="F78" s="19" t="s">
        <v>308</v>
      </c>
      <c r="G78" s="19" t="s">
        <v>420</v>
      </c>
      <c r="H78" s="19"/>
      <c r="I78" s="19"/>
      <c r="J78" s="19"/>
      <c r="K78" s="19"/>
      <c r="L78" s="19"/>
      <c r="M78" s="19"/>
      <c r="N78" s="19"/>
      <c r="O78" s="19"/>
      <c r="P78" s="19"/>
      <c r="Q78" s="19"/>
      <c r="R78" s="19"/>
      <c r="S78" s="19"/>
      <c r="T78" s="19"/>
    </row>
    <row r="79" spans="1:20" hidden="1" outlineLevel="1" x14ac:dyDescent="0.15">
      <c r="A79" s="19"/>
      <c r="B79" s="35" t="s">
        <v>486</v>
      </c>
      <c r="C79" s="35">
        <v>0</v>
      </c>
      <c r="D79" s="16" t="s">
        <v>493</v>
      </c>
      <c r="E79" s="19"/>
      <c r="F79" s="21" t="s">
        <v>309</v>
      </c>
      <c r="G79" s="19"/>
      <c r="H79" s="19"/>
      <c r="I79" s="19"/>
      <c r="J79" s="19"/>
      <c r="K79" s="19"/>
      <c r="L79" s="19"/>
      <c r="M79" s="19"/>
      <c r="N79" s="19"/>
      <c r="O79" s="19"/>
      <c r="P79" s="19"/>
      <c r="Q79" s="19"/>
      <c r="R79" s="19"/>
      <c r="S79" s="19"/>
      <c r="T79" s="19"/>
    </row>
    <row r="80" spans="1:20" hidden="1" outlineLevel="1" x14ac:dyDescent="0.15">
      <c r="A80" s="19"/>
      <c r="B80" s="19" t="s">
        <v>37</v>
      </c>
      <c r="C80" s="74">
        <v>3170</v>
      </c>
      <c r="D80" s="19" t="s">
        <v>204</v>
      </c>
      <c r="E80" s="19"/>
      <c r="F80" s="21" t="s">
        <v>310</v>
      </c>
      <c r="G80" s="19"/>
      <c r="H80" s="19"/>
      <c r="I80" s="19"/>
      <c r="J80" s="19"/>
      <c r="K80" s="19"/>
      <c r="L80" s="19"/>
      <c r="M80" s="19"/>
      <c r="N80" s="19"/>
      <c r="O80" s="19"/>
      <c r="P80" s="19"/>
      <c r="Q80" s="19"/>
      <c r="R80" s="19"/>
      <c r="S80" s="19"/>
      <c r="T80" s="19"/>
    </row>
    <row r="81" spans="1:20" hidden="1" outlineLevel="1" x14ac:dyDescent="0.15">
      <c r="A81" s="19"/>
      <c r="B81" s="19" t="s">
        <v>38</v>
      </c>
      <c r="C81" s="74">
        <v>1120</v>
      </c>
      <c r="D81" s="19" t="s">
        <v>204</v>
      </c>
      <c r="E81" s="19"/>
      <c r="F81" s="19"/>
      <c r="G81" s="19"/>
      <c r="H81" s="19"/>
      <c r="I81" s="19"/>
      <c r="J81" s="19"/>
      <c r="K81" s="19"/>
      <c r="L81" s="19"/>
      <c r="M81" s="19"/>
      <c r="N81" s="19"/>
      <c r="O81" s="19"/>
      <c r="P81" s="19"/>
      <c r="Q81" s="19"/>
      <c r="R81" s="19"/>
      <c r="S81" s="19"/>
      <c r="T81" s="19"/>
    </row>
    <row r="82" spans="1:20" hidden="1" outlineLevel="1" x14ac:dyDescent="0.15">
      <c r="A82" s="19"/>
      <c r="B82" s="19" t="s">
        <v>39</v>
      </c>
      <c r="C82" s="74">
        <v>1300</v>
      </c>
      <c r="D82" s="19" t="s">
        <v>204</v>
      </c>
      <c r="E82" s="19"/>
      <c r="F82" s="19"/>
      <c r="G82" s="19"/>
      <c r="H82" s="19"/>
      <c r="I82" s="19"/>
      <c r="J82" s="19"/>
      <c r="K82" s="19"/>
      <c r="L82" s="19"/>
      <c r="M82" s="19"/>
      <c r="N82" s="19"/>
      <c r="O82" s="19"/>
      <c r="P82" s="19"/>
      <c r="Q82" s="19"/>
      <c r="R82" s="19"/>
      <c r="S82" s="19"/>
      <c r="T82" s="19"/>
    </row>
    <row r="83" spans="1:20" hidden="1" outlineLevel="1" x14ac:dyDescent="0.15">
      <c r="A83" s="19"/>
      <c r="B83" s="19" t="s">
        <v>40</v>
      </c>
      <c r="C83" s="74">
        <v>328</v>
      </c>
      <c r="D83" s="19" t="s">
        <v>204</v>
      </c>
      <c r="E83" s="19"/>
      <c r="F83" s="19"/>
      <c r="G83" s="19"/>
      <c r="H83" s="19"/>
      <c r="I83" s="19"/>
      <c r="J83" s="19"/>
      <c r="K83" s="19"/>
      <c r="L83" s="19"/>
      <c r="M83" s="19"/>
      <c r="N83" s="19"/>
      <c r="O83" s="19"/>
      <c r="P83" s="19"/>
      <c r="Q83" s="19"/>
      <c r="R83" s="19"/>
      <c r="S83" s="19"/>
      <c r="T83" s="19"/>
    </row>
    <row r="84" spans="1:20" hidden="1" outlineLevel="1" x14ac:dyDescent="0.15">
      <c r="A84" s="19"/>
      <c r="B84" s="19" t="s">
        <v>41</v>
      </c>
      <c r="C84" s="74">
        <v>16</v>
      </c>
      <c r="D84" s="19" t="s">
        <v>204</v>
      </c>
      <c r="E84" s="19"/>
      <c r="F84" s="19"/>
      <c r="G84" s="19"/>
      <c r="H84" s="19"/>
      <c r="I84" s="19"/>
      <c r="J84" s="19"/>
      <c r="K84" s="19"/>
      <c r="L84" s="19"/>
      <c r="M84" s="19"/>
      <c r="N84" s="19"/>
      <c r="O84" s="19"/>
      <c r="P84" s="19"/>
      <c r="Q84" s="19"/>
      <c r="R84" s="19"/>
      <c r="S84" s="19"/>
      <c r="T84" s="19"/>
    </row>
    <row r="85" spans="1:20" hidden="1" outlineLevel="1" x14ac:dyDescent="0.15">
      <c r="A85" s="19"/>
      <c r="B85" s="19" t="s">
        <v>42</v>
      </c>
      <c r="C85" s="74">
        <v>138</v>
      </c>
      <c r="D85" s="19" t="s">
        <v>204</v>
      </c>
      <c r="E85" s="19"/>
      <c r="F85" s="19"/>
      <c r="G85" s="19"/>
      <c r="H85" s="19"/>
      <c r="I85" s="82"/>
      <c r="J85" s="19"/>
      <c r="K85" s="19"/>
      <c r="L85" s="19"/>
      <c r="M85" s="19"/>
      <c r="N85" s="19"/>
      <c r="O85" s="19"/>
      <c r="P85" s="19"/>
      <c r="Q85" s="19"/>
      <c r="R85" s="19"/>
      <c r="S85" s="19"/>
      <c r="T85" s="19"/>
    </row>
    <row r="86" spans="1:20" hidden="1" outlineLevel="1" x14ac:dyDescent="0.15">
      <c r="A86" s="19"/>
      <c r="B86" s="19" t="s">
        <v>43</v>
      </c>
      <c r="C86" s="74">
        <v>4</v>
      </c>
      <c r="D86" s="19" t="s">
        <v>204</v>
      </c>
      <c r="E86" s="19"/>
      <c r="F86" s="19"/>
      <c r="G86" s="19"/>
      <c r="H86" s="19"/>
      <c r="I86" s="19"/>
      <c r="J86" s="19"/>
      <c r="K86" s="19"/>
      <c r="L86" s="19"/>
      <c r="M86" s="19"/>
      <c r="N86" s="19"/>
      <c r="O86" s="19"/>
      <c r="P86" s="19"/>
      <c r="Q86" s="19"/>
      <c r="R86" s="19"/>
      <c r="S86" s="19"/>
      <c r="T86" s="19"/>
    </row>
    <row r="87" spans="1:20" hidden="1" outlineLevel="1" x14ac:dyDescent="0.15">
      <c r="A87" s="19"/>
      <c r="B87" s="19" t="s">
        <v>44</v>
      </c>
      <c r="C87" s="74">
        <v>3350</v>
      </c>
      <c r="D87" s="19" t="s">
        <v>204</v>
      </c>
      <c r="E87" s="19"/>
      <c r="F87" s="19"/>
      <c r="G87" s="19"/>
      <c r="H87" s="19"/>
      <c r="I87" s="19"/>
      <c r="J87" s="19"/>
      <c r="K87" s="19"/>
      <c r="L87" s="19"/>
      <c r="M87" s="19"/>
      <c r="N87" s="19"/>
      <c r="O87" s="19"/>
      <c r="P87" s="19"/>
      <c r="Q87" s="19"/>
      <c r="R87" s="19"/>
      <c r="S87" s="19"/>
      <c r="T87" s="19"/>
    </row>
    <row r="88" spans="1:20" hidden="1" outlineLevel="1" x14ac:dyDescent="0.15">
      <c r="A88" s="19"/>
      <c r="B88" s="19" t="s">
        <v>33</v>
      </c>
      <c r="C88" s="74">
        <v>12400</v>
      </c>
      <c r="D88" s="19" t="s">
        <v>204</v>
      </c>
      <c r="E88" s="19"/>
      <c r="F88" s="19"/>
      <c r="G88" s="19"/>
      <c r="H88" s="19"/>
      <c r="I88" s="19"/>
      <c r="J88" s="19"/>
      <c r="K88" s="19"/>
      <c r="L88" s="19"/>
      <c r="M88" s="19"/>
      <c r="N88" s="19"/>
      <c r="O88" s="19"/>
      <c r="P88" s="19"/>
      <c r="Q88" s="19"/>
      <c r="R88" s="19"/>
      <c r="S88" s="19"/>
      <c r="T88" s="19"/>
    </row>
    <row r="89" spans="1:20" hidden="1" outlineLevel="1" x14ac:dyDescent="0.15">
      <c r="A89" s="19"/>
      <c r="B89" s="19" t="s">
        <v>45</v>
      </c>
      <c r="C89" s="74">
        <v>1210</v>
      </c>
      <c r="D89" s="19" t="s">
        <v>204</v>
      </c>
      <c r="E89" s="19"/>
      <c r="F89" s="19"/>
      <c r="G89" s="19"/>
      <c r="H89" s="19"/>
      <c r="I89" s="19"/>
      <c r="J89" s="19"/>
      <c r="K89" s="19"/>
      <c r="L89" s="19"/>
      <c r="M89" s="19"/>
      <c r="N89" s="19"/>
      <c r="O89" s="19"/>
      <c r="P89" s="19"/>
      <c r="Q89" s="19"/>
      <c r="R89" s="19"/>
      <c r="S89" s="19"/>
      <c r="T89" s="19"/>
    </row>
    <row r="90" spans="1:20" hidden="1" outlineLevel="1" x14ac:dyDescent="0.15">
      <c r="A90" s="19"/>
      <c r="B90" s="19" t="s">
        <v>46</v>
      </c>
      <c r="C90" s="74">
        <v>1330</v>
      </c>
      <c r="D90" s="19" t="s">
        <v>204</v>
      </c>
      <c r="E90" s="19"/>
      <c r="F90" s="19"/>
      <c r="G90" s="19"/>
      <c r="H90" s="19"/>
      <c r="I90" s="19"/>
      <c r="J90" s="19"/>
      <c r="K90" s="19"/>
      <c r="L90" s="19"/>
      <c r="M90" s="19"/>
      <c r="N90" s="19"/>
      <c r="O90" s="19"/>
      <c r="P90" s="19"/>
      <c r="Q90" s="19"/>
      <c r="R90" s="19"/>
      <c r="S90" s="19"/>
      <c r="T90" s="19"/>
    </row>
    <row r="91" spans="1:20" hidden="1" outlineLevel="1" x14ac:dyDescent="0.15">
      <c r="A91" s="19"/>
      <c r="B91" s="19" t="s">
        <v>47</v>
      </c>
      <c r="C91" s="74">
        <v>8060</v>
      </c>
      <c r="D91" s="19" t="s">
        <v>204</v>
      </c>
      <c r="E91" s="19"/>
      <c r="F91" s="19"/>
      <c r="G91" s="19"/>
      <c r="H91" s="19"/>
      <c r="I91" s="19"/>
      <c r="J91" s="19"/>
      <c r="K91" s="19"/>
      <c r="L91" s="19"/>
      <c r="M91" s="19"/>
      <c r="N91" s="19"/>
      <c r="O91" s="19"/>
      <c r="P91" s="19"/>
      <c r="Q91" s="19"/>
      <c r="R91" s="19"/>
      <c r="S91" s="19"/>
      <c r="T91" s="19"/>
    </row>
    <row r="92" spans="1:20" hidden="1" outlineLevel="1" x14ac:dyDescent="0.15">
      <c r="A92" s="19"/>
      <c r="B92" s="19" t="s">
        <v>48</v>
      </c>
      <c r="C92" s="74">
        <v>716</v>
      </c>
      <c r="D92" s="19" t="s">
        <v>204</v>
      </c>
      <c r="E92" s="19"/>
      <c r="F92" s="19"/>
      <c r="G92" s="19"/>
      <c r="H92" s="19"/>
      <c r="I92" s="19"/>
      <c r="J92" s="19"/>
      <c r="K92" s="19"/>
      <c r="L92" s="19"/>
      <c r="M92" s="19"/>
      <c r="N92" s="19"/>
      <c r="O92" s="19"/>
      <c r="P92" s="19"/>
      <c r="Q92" s="19"/>
      <c r="R92" s="19"/>
      <c r="S92" s="19"/>
      <c r="T92" s="19"/>
    </row>
    <row r="93" spans="1:20" hidden="1" outlineLevel="1" x14ac:dyDescent="0.15">
      <c r="A93" s="19"/>
      <c r="B93" s="19" t="s">
        <v>49</v>
      </c>
      <c r="C93" s="74">
        <v>858</v>
      </c>
      <c r="D93" s="19" t="s">
        <v>204</v>
      </c>
      <c r="E93" s="19"/>
      <c r="F93" s="19"/>
      <c r="G93" s="19"/>
      <c r="H93" s="19"/>
      <c r="I93" s="19"/>
      <c r="J93" s="19"/>
      <c r="K93" s="19"/>
      <c r="L93" s="19"/>
      <c r="M93" s="19"/>
      <c r="N93" s="19"/>
      <c r="O93" s="19"/>
      <c r="P93" s="19"/>
      <c r="Q93" s="19"/>
      <c r="R93" s="19"/>
      <c r="S93" s="19"/>
      <c r="T93" s="19"/>
    </row>
    <row r="94" spans="1:20" hidden="1" outlineLevel="1" x14ac:dyDescent="0.15">
      <c r="A94" s="19"/>
      <c r="B94" s="19" t="s">
        <v>34</v>
      </c>
      <c r="C94" s="74">
        <v>677</v>
      </c>
      <c r="D94" s="19" t="s">
        <v>204</v>
      </c>
      <c r="E94" s="19"/>
      <c r="F94" s="19"/>
      <c r="G94" s="19"/>
      <c r="H94" s="19"/>
      <c r="I94" s="19"/>
      <c r="J94" s="19"/>
      <c r="K94" s="19"/>
      <c r="L94" s="19"/>
      <c r="M94" s="19"/>
      <c r="N94" s="19"/>
      <c r="O94" s="19"/>
      <c r="P94" s="19"/>
      <c r="Q94" s="19"/>
      <c r="R94" s="19"/>
      <c r="S94" s="19"/>
      <c r="T94" s="19"/>
    </row>
    <row r="95" spans="1:20" hidden="1" outlineLevel="1" x14ac:dyDescent="0.15">
      <c r="A95" s="19"/>
      <c r="B95" s="19" t="s">
        <v>50</v>
      </c>
      <c r="C95" s="74">
        <v>804</v>
      </c>
      <c r="D95" s="19" t="s">
        <v>204</v>
      </c>
      <c r="E95" s="19"/>
      <c r="F95" s="19"/>
      <c r="G95" s="19"/>
      <c r="H95" s="19"/>
      <c r="I95" s="19"/>
      <c r="J95" s="19"/>
      <c r="K95" s="19"/>
      <c r="L95" s="19"/>
      <c r="M95" s="19"/>
      <c r="N95" s="19"/>
      <c r="O95" s="19"/>
      <c r="P95" s="19"/>
      <c r="Q95" s="19"/>
      <c r="R95" s="19"/>
      <c r="S95" s="19"/>
      <c r="T95" s="19"/>
    </row>
    <row r="96" spans="1:20" hidden="1" outlineLevel="1" x14ac:dyDescent="0.15">
      <c r="A96" s="19"/>
      <c r="B96" s="19" t="s">
        <v>35</v>
      </c>
      <c r="C96" s="74">
        <v>116</v>
      </c>
      <c r="D96" s="19" t="s">
        <v>204</v>
      </c>
      <c r="E96" s="19"/>
      <c r="F96" s="19"/>
      <c r="G96" s="19"/>
      <c r="H96" s="19"/>
      <c r="I96" s="82"/>
      <c r="J96" s="19"/>
      <c r="K96" s="19"/>
      <c r="L96" s="19"/>
      <c r="M96" s="19"/>
      <c r="N96" s="19"/>
      <c r="O96" s="19"/>
      <c r="P96" s="19"/>
      <c r="Q96" s="19"/>
      <c r="R96" s="19"/>
      <c r="S96" s="19"/>
      <c r="T96" s="19"/>
    </row>
    <row r="97" spans="1:20" hidden="1" outlineLevel="1" x14ac:dyDescent="0.15">
      <c r="A97" s="19"/>
      <c r="B97" s="19" t="s">
        <v>36</v>
      </c>
      <c r="C97" s="74">
        <v>1650</v>
      </c>
      <c r="D97" s="19" t="s">
        <v>204</v>
      </c>
      <c r="E97" s="19"/>
      <c r="F97" s="19"/>
      <c r="G97" s="19"/>
      <c r="H97" s="19"/>
      <c r="I97" s="82"/>
      <c r="J97" s="19"/>
      <c r="K97" s="19"/>
      <c r="L97" s="19"/>
      <c r="M97" s="19"/>
      <c r="N97" s="19"/>
      <c r="O97" s="19"/>
      <c r="P97" s="19"/>
      <c r="Q97" s="19"/>
      <c r="R97" s="19"/>
      <c r="S97" s="19"/>
      <c r="T97" s="19"/>
    </row>
    <row r="98" spans="1:20" hidden="1" outlineLevel="1" x14ac:dyDescent="0.15">
      <c r="A98" s="19"/>
      <c r="B98" s="19" t="s">
        <v>106</v>
      </c>
      <c r="C98" s="74">
        <v>9200</v>
      </c>
      <c r="D98" s="19" t="s">
        <v>204</v>
      </c>
      <c r="E98" s="19"/>
      <c r="F98" s="19"/>
      <c r="G98" s="19"/>
      <c r="H98" s="19"/>
      <c r="I98" s="82"/>
      <c r="J98" s="19"/>
      <c r="K98" s="19"/>
      <c r="L98" s="19"/>
      <c r="M98" s="19"/>
      <c r="N98" s="19"/>
      <c r="O98" s="19"/>
      <c r="P98" s="19"/>
      <c r="Q98" s="19"/>
      <c r="R98" s="19"/>
      <c r="S98" s="19"/>
      <c r="T98" s="19"/>
    </row>
    <row r="99" spans="1:20" hidden="1" outlineLevel="1" x14ac:dyDescent="0.15">
      <c r="A99" s="19"/>
      <c r="B99" s="19" t="s">
        <v>107</v>
      </c>
      <c r="C99" s="74">
        <v>9540</v>
      </c>
      <c r="D99" s="19" t="s">
        <v>204</v>
      </c>
      <c r="E99" s="19"/>
      <c r="F99" s="19"/>
      <c r="G99" s="19"/>
      <c r="H99" s="19"/>
      <c r="I99" s="19"/>
      <c r="J99" s="19"/>
      <c r="K99" s="19"/>
      <c r="L99" s="19"/>
      <c r="M99" s="19"/>
      <c r="N99" s="19"/>
      <c r="O99" s="19"/>
      <c r="P99" s="19"/>
      <c r="Q99" s="19"/>
      <c r="R99" s="19"/>
      <c r="S99" s="19"/>
      <c r="T99" s="19"/>
    </row>
    <row r="100" spans="1:20" hidden="1" outlineLevel="1" x14ac:dyDescent="0.15">
      <c r="A100" s="19"/>
      <c r="B100" s="19" t="s">
        <v>104</v>
      </c>
      <c r="C100" s="74">
        <v>11100</v>
      </c>
      <c r="D100" s="19" t="s">
        <v>204</v>
      </c>
      <c r="E100" s="19"/>
      <c r="F100" s="19"/>
      <c r="G100" s="19"/>
      <c r="H100" s="19"/>
      <c r="I100" s="19"/>
      <c r="J100" s="19"/>
      <c r="K100" s="19"/>
      <c r="L100" s="19"/>
      <c r="M100" s="19"/>
      <c r="N100" s="19"/>
      <c r="O100" s="19"/>
      <c r="P100" s="19"/>
      <c r="Q100" s="19"/>
      <c r="R100" s="19"/>
      <c r="S100" s="19"/>
      <c r="T100" s="19"/>
    </row>
    <row r="101" spans="1:20" hidden="1" outlineLevel="1" x14ac:dyDescent="0.15">
      <c r="A101" s="19"/>
      <c r="B101" s="19" t="s">
        <v>109</v>
      </c>
      <c r="C101" s="74">
        <v>7910</v>
      </c>
      <c r="D101" s="19" t="s">
        <v>204</v>
      </c>
      <c r="E101" s="19"/>
      <c r="F101" s="19"/>
      <c r="G101" s="19"/>
      <c r="H101" s="19"/>
      <c r="I101" s="19"/>
      <c r="J101" s="19"/>
      <c r="K101" s="19"/>
      <c r="L101" s="19"/>
      <c r="M101" s="19"/>
      <c r="N101" s="19"/>
      <c r="O101" s="19"/>
      <c r="P101" s="19"/>
      <c r="Q101" s="19"/>
      <c r="R101" s="19"/>
      <c r="S101" s="19"/>
      <c r="T101" s="19"/>
    </row>
    <row r="102" spans="1:20" hidden="1" outlineLevel="1" x14ac:dyDescent="0.15">
      <c r="A102" s="19"/>
      <c r="B102" s="19" t="s">
        <v>103</v>
      </c>
      <c r="C102" s="74">
        <v>6630</v>
      </c>
      <c r="D102" s="19" t="s">
        <v>204</v>
      </c>
      <c r="E102" s="19"/>
      <c r="F102" s="19"/>
      <c r="G102" s="19"/>
      <c r="H102" s="19"/>
      <c r="I102" s="19"/>
      <c r="J102" s="19"/>
      <c r="K102" s="19"/>
      <c r="L102" s="19"/>
      <c r="M102" s="19"/>
      <c r="N102" s="19"/>
      <c r="O102" s="19"/>
      <c r="P102" s="19"/>
      <c r="Q102" s="19"/>
      <c r="R102" s="19"/>
      <c r="S102" s="19"/>
      <c r="T102" s="19"/>
    </row>
    <row r="103" spans="1:20" hidden="1" outlineLevel="1" x14ac:dyDescent="0.15">
      <c r="A103" s="19"/>
      <c r="B103" s="19" t="s">
        <v>108</v>
      </c>
      <c r="C103" s="74">
        <v>8550</v>
      </c>
      <c r="D103" s="19" t="s">
        <v>204</v>
      </c>
      <c r="E103" s="19"/>
      <c r="F103" s="19"/>
      <c r="G103" s="19"/>
      <c r="H103" s="19"/>
      <c r="I103" s="19"/>
      <c r="J103" s="19"/>
      <c r="K103" s="19"/>
      <c r="L103" s="19"/>
      <c r="M103" s="19"/>
      <c r="N103" s="19"/>
      <c r="O103" s="19"/>
      <c r="P103" s="19"/>
      <c r="Q103" s="19"/>
      <c r="R103" s="19"/>
      <c r="S103" s="19"/>
      <c r="T103" s="19"/>
    </row>
    <row r="104" spans="1:20" hidden="1" outlineLevel="1" x14ac:dyDescent="0.15">
      <c r="A104" s="19"/>
      <c r="B104" s="19" t="s">
        <v>105</v>
      </c>
      <c r="C104" s="74">
        <v>8900</v>
      </c>
      <c r="D104" s="19" t="s">
        <v>204</v>
      </c>
      <c r="E104" s="19"/>
      <c r="F104" s="19"/>
      <c r="G104" s="19"/>
      <c r="H104" s="19"/>
      <c r="I104" s="19"/>
      <c r="J104" s="19"/>
      <c r="K104" s="19"/>
      <c r="L104" s="19"/>
      <c r="M104" s="19"/>
      <c r="N104" s="19"/>
      <c r="O104" s="19"/>
      <c r="P104" s="19"/>
      <c r="Q104" s="19"/>
      <c r="R104" s="19"/>
      <c r="S104" s="19"/>
      <c r="T104" s="19"/>
    </row>
    <row r="105" spans="1:20" hidden="1" outlineLevel="1" x14ac:dyDescent="0.15">
      <c r="A105" s="19"/>
      <c r="B105" s="19" t="s">
        <v>307</v>
      </c>
      <c r="C105" s="83">
        <v>10200</v>
      </c>
      <c r="D105" s="19" t="s">
        <v>204</v>
      </c>
      <c r="E105" s="19"/>
      <c r="F105" s="19"/>
      <c r="G105" s="19"/>
      <c r="H105" s="19"/>
      <c r="I105" s="19"/>
      <c r="J105" s="19"/>
      <c r="K105" s="19"/>
      <c r="L105" s="19"/>
      <c r="M105" s="19"/>
      <c r="N105" s="19"/>
      <c r="O105" s="19"/>
      <c r="P105" s="19"/>
      <c r="Q105" s="19"/>
      <c r="R105" s="19"/>
      <c r="S105" s="19"/>
      <c r="T105" s="19"/>
    </row>
    <row r="106" spans="1:20" hidden="1" outlineLevel="1" x14ac:dyDescent="0.15">
      <c r="A106" s="19"/>
      <c r="B106" s="19" t="s">
        <v>306</v>
      </c>
      <c r="C106" s="83">
        <v>1760</v>
      </c>
      <c r="D106" s="19" t="s">
        <v>204</v>
      </c>
      <c r="E106" s="19"/>
      <c r="F106" s="19"/>
      <c r="G106" s="19"/>
      <c r="H106" s="19"/>
      <c r="I106" s="19"/>
      <c r="J106" s="19"/>
      <c r="K106" s="19"/>
      <c r="L106" s="19"/>
      <c r="M106" s="19"/>
      <c r="N106" s="19"/>
      <c r="O106" s="19"/>
      <c r="P106" s="19"/>
      <c r="Q106" s="19"/>
      <c r="R106" s="19"/>
      <c r="S106" s="19"/>
      <c r="T106" s="19"/>
    </row>
    <row r="107" spans="1:20" hidden="1" outlineLevel="1" x14ac:dyDescent="0.15">
      <c r="A107" s="19"/>
      <c r="B107" s="19" t="s">
        <v>51</v>
      </c>
      <c r="C107" s="83">
        <v>16</v>
      </c>
      <c r="D107" s="19" t="s">
        <v>205</v>
      </c>
      <c r="E107" s="19"/>
      <c r="F107" s="19"/>
      <c r="G107" s="19"/>
      <c r="H107" s="19"/>
      <c r="I107" s="19"/>
      <c r="J107" s="19"/>
      <c r="K107" s="19"/>
      <c r="L107" s="19"/>
      <c r="M107" s="19"/>
      <c r="N107" s="19"/>
      <c r="O107" s="19"/>
      <c r="P107" s="19"/>
      <c r="Q107" s="19"/>
      <c r="R107" s="19"/>
      <c r="S107" s="19"/>
      <c r="T107" s="19"/>
    </row>
    <row r="108" spans="1:20" hidden="1" outlineLevel="1" x14ac:dyDescent="0.15">
      <c r="A108" s="19"/>
      <c r="B108" s="19" t="s">
        <v>52</v>
      </c>
      <c r="C108" s="83">
        <v>14</v>
      </c>
      <c r="D108" s="19" t="s">
        <v>205</v>
      </c>
      <c r="E108" s="19"/>
      <c r="F108" s="19"/>
      <c r="G108" s="19"/>
      <c r="H108" s="19"/>
      <c r="I108" s="19"/>
      <c r="J108" s="19"/>
      <c r="K108" s="19"/>
      <c r="L108" s="19"/>
      <c r="M108" s="19"/>
      <c r="N108" s="19"/>
      <c r="O108" s="19"/>
      <c r="P108" s="19"/>
      <c r="Q108" s="19"/>
      <c r="R108" s="19"/>
      <c r="S108" s="19"/>
      <c r="T108" s="19"/>
    </row>
    <row r="109" spans="1:20" hidden="1" outlineLevel="1" x14ac:dyDescent="0.15">
      <c r="A109" s="19"/>
      <c r="B109" s="19" t="s">
        <v>53</v>
      </c>
      <c r="C109" s="83">
        <v>19</v>
      </c>
      <c r="D109" s="19" t="s">
        <v>205</v>
      </c>
      <c r="E109" s="19"/>
      <c r="F109" s="19"/>
      <c r="G109" s="19"/>
      <c r="H109" s="19"/>
      <c r="I109" s="19"/>
      <c r="J109" s="19"/>
      <c r="K109" s="19"/>
      <c r="L109" s="19"/>
      <c r="M109" s="19"/>
      <c r="N109" s="19"/>
      <c r="O109" s="19"/>
      <c r="P109" s="19"/>
      <c r="Q109" s="19"/>
      <c r="R109" s="19"/>
      <c r="S109" s="19"/>
      <c r="T109" s="19"/>
    </row>
    <row r="110" spans="1:20" hidden="1" outlineLevel="1" x14ac:dyDescent="0.15">
      <c r="A110" s="19"/>
      <c r="B110" s="19" t="s">
        <v>54</v>
      </c>
      <c r="C110" s="83">
        <v>2100</v>
      </c>
      <c r="D110" s="19" t="s">
        <v>205</v>
      </c>
      <c r="E110" s="19"/>
      <c r="F110" s="19"/>
      <c r="G110" s="19"/>
      <c r="H110" s="19"/>
      <c r="I110" s="19"/>
      <c r="J110" s="19"/>
      <c r="K110" s="19"/>
      <c r="L110" s="19"/>
      <c r="M110" s="19"/>
      <c r="N110" s="19"/>
      <c r="O110" s="19"/>
      <c r="P110" s="19"/>
      <c r="Q110" s="19"/>
      <c r="R110" s="19"/>
      <c r="S110" s="19"/>
      <c r="T110" s="19"/>
    </row>
    <row r="111" spans="1:20" hidden="1" outlineLevel="1" x14ac:dyDescent="0.15">
      <c r="A111" s="19"/>
      <c r="B111" s="19" t="s">
        <v>55</v>
      </c>
      <c r="C111" s="83">
        <v>1330</v>
      </c>
      <c r="D111" s="19" t="s">
        <v>205</v>
      </c>
      <c r="E111" s="19"/>
      <c r="F111" s="19"/>
      <c r="G111" s="19"/>
      <c r="H111" s="19"/>
      <c r="I111" s="19"/>
      <c r="J111" s="19"/>
      <c r="K111" s="19"/>
      <c r="L111" s="19"/>
      <c r="M111" s="19"/>
      <c r="N111" s="19"/>
      <c r="O111" s="19"/>
      <c r="P111" s="19"/>
      <c r="Q111" s="19"/>
      <c r="R111" s="19"/>
      <c r="S111" s="19"/>
      <c r="T111" s="19"/>
    </row>
    <row r="112" spans="1:20" hidden="1" outlineLevel="1" x14ac:dyDescent="0.15">
      <c r="A112" s="19"/>
      <c r="B112" s="19" t="s">
        <v>56</v>
      </c>
      <c r="C112" s="83">
        <v>3444</v>
      </c>
      <c r="D112" s="19" t="s">
        <v>205</v>
      </c>
      <c r="E112" s="19"/>
      <c r="F112" s="19"/>
      <c r="G112" s="19"/>
      <c r="H112" s="19"/>
      <c r="I112" s="19"/>
      <c r="J112" s="19"/>
      <c r="K112" s="19"/>
      <c r="L112" s="19"/>
      <c r="M112" s="19"/>
      <c r="N112" s="19"/>
      <c r="O112" s="19"/>
      <c r="P112" s="19"/>
      <c r="Q112" s="19"/>
      <c r="R112" s="19"/>
      <c r="S112" s="19"/>
      <c r="T112" s="19"/>
    </row>
    <row r="113" spans="1:20" hidden="1" outlineLevel="1" x14ac:dyDescent="0.15">
      <c r="A113" s="19"/>
      <c r="B113" s="19" t="s">
        <v>57</v>
      </c>
      <c r="C113" s="74">
        <v>3922</v>
      </c>
      <c r="D113" s="19" t="s">
        <v>205</v>
      </c>
      <c r="E113" s="19"/>
      <c r="F113" s="19"/>
      <c r="G113" s="19"/>
      <c r="H113" s="19"/>
      <c r="I113" s="19"/>
      <c r="J113" s="19"/>
      <c r="K113" s="19"/>
      <c r="L113" s="19"/>
      <c r="M113" s="19"/>
      <c r="N113" s="19"/>
      <c r="O113" s="19"/>
      <c r="P113" s="19"/>
      <c r="Q113" s="19"/>
      <c r="R113" s="19"/>
      <c r="S113" s="19"/>
      <c r="T113" s="19"/>
    </row>
    <row r="114" spans="1:20" hidden="1" outlineLevel="1" x14ac:dyDescent="0.15">
      <c r="A114" s="19"/>
      <c r="B114" s="19" t="s">
        <v>58</v>
      </c>
      <c r="C114" s="74">
        <v>2107</v>
      </c>
      <c r="D114" s="19" t="s">
        <v>205</v>
      </c>
      <c r="E114" s="19"/>
      <c r="F114" s="19"/>
      <c r="G114" s="19"/>
      <c r="H114" s="19"/>
      <c r="I114" s="19"/>
      <c r="J114" s="19"/>
      <c r="K114" s="19"/>
      <c r="L114" s="19"/>
      <c r="M114" s="19"/>
      <c r="N114" s="19"/>
      <c r="O114" s="19"/>
      <c r="P114" s="19"/>
      <c r="Q114" s="19"/>
      <c r="R114" s="19"/>
      <c r="S114" s="19"/>
      <c r="T114" s="19"/>
    </row>
    <row r="115" spans="1:20" hidden="1" outlineLevel="1" x14ac:dyDescent="0.15">
      <c r="A115" s="19"/>
      <c r="B115" s="19" t="s">
        <v>59</v>
      </c>
      <c r="C115" s="74">
        <v>2804</v>
      </c>
      <c r="D115" s="19" t="s">
        <v>205</v>
      </c>
      <c r="E115" s="19"/>
      <c r="F115" s="19"/>
      <c r="G115" s="19"/>
      <c r="H115" s="19"/>
      <c r="I115" s="19"/>
      <c r="J115" s="19"/>
      <c r="K115" s="19"/>
      <c r="L115" s="19"/>
      <c r="M115" s="19"/>
      <c r="N115" s="19"/>
      <c r="O115" s="19"/>
      <c r="P115" s="19"/>
      <c r="Q115" s="19"/>
      <c r="R115" s="19"/>
      <c r="S115" s="19"/>
      <c r="T115" s="19"/>
    </row>
    <row r="116" spans="1:20" hidden="1" outlineLevel="1" x14ac:dyDescent="0.15">
      <c r="A116" s="19"/>
      <c r="B116" s="19" t="s">
        <v>60</v>
      </c>
      <c r="C116" s="74">
        <v>1774</v>
      </c>
      <c r="D116" s="19" t="s">
        <v>205</v>
      </c>
      <c r="E116" s="19"/>
      <c r="F116" s="19"/>
      <c r="G116" s="19"/>
      <c r="H116" s="19"/>
      <c r="I116" s="19"/>
      <c r="J116" s="19"/>
      <c r="K116" s="19"/>
      <c r="L116" s="19"/>
      <c r="M116" s="19"/>
      <c r="N116" s="19"/>
      <c r="O116" s="19"/>
      <c r="P116" s="19"/>
      <c r="Q116" s="19"/>
      <c r="R116" s="19"/>
      <c r="S116" s="19"/>
      <c r="T116" s="19"/>
    </row>
    <row r="117" spans="1:20" hidden="1" outlineLevel="1" x14ac:dyDescent="0.15">
      <c r="A117" s="19"/>
      <c r="B117" s="19" t="s">
        <v>180</v>
      </c>
      <c r="C117" s="74">
        <v>1627</v>
      </c>
      <c r="D117" s="19" t="s">
        <v>205</v>
      </c>
      <c r="E117" s="19"/>
      <c r="F117" s="19"/>
      <c r="G117" s="19"/>
      <c r="H117" s="19"/>
      <c r="I117" s="19"/>
      <c r="J117" s="19"/>
      <c r="K117" s="19"/>
      <c r="L117" s="19"/>
      <c r="M117" s="19"/>
      <c r="N117" s="19"/>
      <c r="O117" s="19"/>
      <c r="P117" s="19"/>
      <c r="Q117" s="19"/>
      <c r="R117" s="19"/>
      <c r="S117" s="19"/>
      <c r="T117" s="19"/>
    </row>
    <row r="118" spans="1:20" hidden="1" outlineLevel="1" x14ac:dyDescent="0.15">
      <c r="A118" s="19"/>
      <c r="B118" s="19" t="s">
        <v>61</v>
      </c>
      <c r="C118" s="74">
        <v>1552</v>
      </c>
      <c r="D118" s="19" t="s">
        <v>205</v>
      </c>
      <c r="E118" s="19"/>
      <c r="F118" s="19"/>
      <c r="G118" s="19"/>
      <c r="H118" s="19"/>
      <c r="I118" s="19"/>
      <c r="J118" s="19"/>
      <c r="K118" s="19"/>
      <c r="L118" s="19"/>
      <c r="M118" s="19"/>
      <c r="N118" s="19"/>
      <c r="O118" s="19"/>
      <c r="P118" s="19"/>
      <c r="Q118" s="19"/>
      <c r="R118" s="19"/>
      <c r="S118" s="19"/>
      <c r="T118" s="19"/>
    </row>
    <row r="119" spans="1:20" hidden="1" outlineLevel="1" x14ac:dyDescent="0.15">
      <c r="A119" s="19"/>
      <c r="B119" s="19" t="s">
        <v>62</v>
      </c>
      <c r="C119" s="74">
        <v>2301</v>
      </c>
      <c r="D119" s="19" t="s">
        <v>205</v>
      </c>
      <c r="E119" s="19"/>
      <c r="F119" s="19"/>
      <c r="G119" s="19"/>
      <c r="H119" s="19"/>
      <c r="I119" s="19"/>
      <c r="J119" s="19"/>
      <c r="K119" s="19"/>
      <c r="L119" s="19"/>
      <c r="M119" s="19"/>
      <c r="N119" s="19"/>
      <c r="O119" s="19"/>
      <c r="P119" s="19"/>
      <c r="Q119" s="19"/>
      <c r="R119" s="19"/>
      <c r="S119" s="19"/>
      <c r="T119" s="19"/>
    </row>
    <row r="120" spans="1:20" hidden="1" outlineLevel="1" x14ac:dyDescent="0.15">
      <c r="A120" s="19"/>
      <c r="B120" s="19" t="s">
        <v>63</v>
      </c>
      <c r="C120" s="83">
        <v>1909</v>
      </c>
      <c r="D120" s="16" t="s">
        <v>384</v>
      </c>
      <c r="E120" s="19"/>
      <c r="F120" s="19"/>
      <c r="G120" s="19"/>
      <c r="H120" s="19"/>
      <c r="I120" s="19"/>
      <c r="J120" s="19"/>
      <c r="K120" s="19"/>
      <c r="L120" s="19"/>
      <c r="M120" s="19"/>
      <c r="N120" s="19"/>
      <c r="O120" s="19"/>
      <c r="P120" s="19"/>
      <c r="Q120" s="19"/>
      <c r="R120" s="19"/>
      <c r="S120" s="19"/>
      <c r="T120" s="19"/>
    </row>
    <row r="121" spans="1:20" hidden="1" outlineLevel="1" x14ac:dyDescent="0.15">
      <c r="A121" s="19"/>
      <c r="B121" s="19" t="s">
        <v>64</v>
      </c>
      <c r="C121" s="74">
        <v>2088</v>
      </c>
      <c r="D121" s="19" t="s">
        <v>205</v>
      </c>
      <c r="E121" s="19"/>
      <c r="F121" s="19"/>
      <c r="G121" s="19"/>
      <c r="H121" s="19"/>
      <c r="I121" s="19"/>
      <c r="J121" s="19"/>
      <c r="K121" s="19"/>
      <c r="L121" s="19"/>
      <c r="M121" s="19"/>
      <c r="N121" s="19"/>
      <c r="O121" s="19"/>
      <c r="P121" s="19"/>
      <c r="Q121" s="19"/>
      <c r="R121" s="19"/>
      <c r="S121" s="19"/>
      <c r="T121" s="19"/>
    </row>
    <row r="122" spans="1:20" hidden="1" outlineLevel="1" x14ac:dyDescent="0.15">
      <c r="A122" s="19"/>
      <c r="B122" s="19" t="s">
        <v>65</v>
      </c>
      <c r="C122" s="74">
        <v>2229</v>
      </c>
      <c r="D122" s="19" t="s">
        <v>205</v>
      </c>
      <c r="E122" s="19"/>
      <c r="F122" s="19"/>
      <c r="G122" s="19"/>
      <c r="H122" s="19"/>
      <c r="I122" s="19"/>
      <c r="J122" s="19"/>
      <c r="K122" s="19"/>
      <c r="L122" s="19"/>
      <c r="M122" s="19"/>
      <c r="N122" s="19"/>
      <c r="O122" s="19"/>
      <c r="P122" s="19"/>
      <c r="Q122" s="19"/>
      <c r="R122" s="19"/>
      <c r="S122" s="19"/>
      <c r="T122" s="19"/>
    </row>
    <row r="123" spans="1:20" hidden="1" outlineLevel="1" x14ac:dyDescent="0.15">
      <c r="A123" s="19"/>
      <c r="B123" s="19" t="s">
        <v>66</v>
      </c>
      <c r="C123" s="74">
        <v>14</v>
      </c>
      <c r="D123" s="19" t="s">
        <v>205</v>
      </c>
      <c r="E123" s="19"/>
      <c r="F123" s="19"/>
      <c r="G123" s="19"/>
      <c r="H123" s="19"/>
      <c r="I123" s="19"/>
      <c r="J123" s="19"/>
      <c r="K123" s="19"/>
      <c r="L123" s="19"/>
      <c r="M123" s="19"/>
      <c r="N123" s="19"/>
      <c r="O123" s="19"/>
      <c r="P123" s="19"/>
      <c r="Q123" s="19"/>
      <c r="R123" s="19"/>
      <c r="S123" s="19"/>
      <c r="T123" s="19"/>
    </row>
    <row r="124" spans="1:20" hidden="1" outlineLevel="1" x14ac:dyDescent="0.15">
      <c r="A124" s="19"/>
      <c r="B124" s="19" t="s">
        <v>67</v>
      </c>
      <c r="C124" s="74">
        <v>4</v>
      </c>
      <c r="D124" s="19" t="s">
        <v>205</v>
      </c>
      <c r="E124" s="19"/>
      <c r="F124" s="19"/>
      <c r="G124" s="19"/>
      <c r="H124" s="19"/>
      <c r="I124" s="19"/>
      <c r="J124" s="19"/>
      <c r="K124" s="19"/>
      <c r="L124" s="19"/>
      <c r="M124" s="19"/>
      <c r="N124" s="19"/>
      <c r="O124" s="19"/>
      <c r="P124" s="19"/>
      <c r="Q124" s="19"/>
      <c r="R124" s="19"/>
      <c r="S124" s="19"/>
      <c r="T124" s="19"/>
    </row>
    <row r="125" spans="1:20" hidden="1" outlineLevel="1" x14ac:dyDescent="0.15">
      <c r="A125" s="19"/>
      <c r="B125" s="19" t="s">
        <v>68</v>
      </c>
      <c r="C125" s="74">
        <v>2053</v>
      </c>
      <c r="D125" s="19" t="s">
        <v>205</v>
      </c>
      <c r="E125" s="19"/>
      <c r="F125" s="19"/>
      <c r="G125" s="19"/>
      <c r="H125" s="19"/>
      <c r="I125" s="19"/>
      <c r="J125" s="19"/>
      <c r="K125" s="19"/>
      <c r="L125" s="19"/>
      <c r="M125" s="19"/>
      <c r="N125" s="19"/>
      <c r="O125" s="19"/>
      <c r="P125" s="19"/>
      <c r="Q125" s="19"/>
      <c r="R125" s="19"/>
      <c r="S125" s="19"/>
      <c r="T125" s="19"/>
    </row>
    <row r="126" spans="1:20" hidden="1" outlineLevel="1" x14ac:dyDescent="0.15">
      <c r="A126" s="19"/>
      <c r="B126" s="19" t="s">
        <v>69</v>
      </c>
      <c r="C126" s="74">
        <v>2346</v>
      </c>
      <c r="D126" s="19" t="s">
        <v>205</v>
      </c>
      <c r="E126" s="19"/>
      <c r="F126" s="19"/>
      <c r="G126" s="19"/>
      <c r="H126" s="19"/>
      <c r="I126" s="82"/>
      <c r="J126" s="19"/>
      <c r="K126" s="19"/>
      <c r="L126" s="19"/>
      <c r="M126" s="19"/>
      <c r="N126" s="19"/>
      <c r="O126" s="19"/>
      <c r="P126" s="19"/>
      <c r="Q126" s="19"/>
      <c r="R126" s="19"/>
      <c r="S126" s="19"/>
      <c r="T126" s="19"/>
    </row>
    <row r="127" spans="1:20" hidden="1" outlineLevel="1" x14ac:dyDescent="0.15">
      <c r="A127" s="19"/>
      <c r="B127" s="19" t="s">
        <v>70</v>
      </c>
      <c r="C127" s="74">
        <v>32</v>
      </c>
      <c r="D127" s="19" t="s">
        <v>205</v>
      </c>
      <c r="E127" s="19"/>
      <c r="F127" s="19"/>
      <c r="G127" s="19"/>
      <c r="H127" s="19"/>
      <c r="I127" s="19"/>
      <c r="J127" s="19"/>
      <c r="K127" s="19"/>
      <c r="L127" s="19"/>
      <c r="M127" s="19"/>
      <c r="N127" s="19"/>
      <c r="O127" s="19"/>
      <c r="P127" s="19"/>
      <c r="Q127" s="19"/>
      <c r="R127" s="19"/>
      <c r="S127" s="19"/>
      <c r="T127" s="19"/>
    </row>
    <row r="128" spans="1:20" hidden="1" outlineLevel="1" x14ac:dyDescent="0.15">
      <c r="A128" s="19"/>
      <c r="B128" s="19" t="s">
        <v>71</v>
      </c>
      <c r="C128" s="83">
        <v>4657</v>
      </c>
      <c r="D128" s="16" t="s">
        <v>384</v>
      </c>
      <c r="E128" s="19"/>
      <c r="F128" s="19"/>
      <c r="G128" s="19"/>
      <c r="H128" s="19"/>
      <c r="I128" s="19"/>
      <c r="J128" s="19"/>
      <c r="K128" s="19"/>
      <c r="L128" s="19"/>
      <c r="M128" s="19"/>
      <c r="N128" s="19"/>
      <c r="O128" s="19"/>
      <c r="P128" s="19"/>
      <c r="Q128" s="19"/>
      <c r="R128" s="19"/>
      <c r="S128" s="19"/>
      <c r="T128" s="19"/>
    </row>
    <row r="129" spans="1:20" hidden="1" outlineLevel="1" x14ac:dyDescent="0.15">
      <c r="A129" s="19"/>
      <c r="B129" s="19" t="s">
        <v>72</v>
      </c>
      <c r="C129" s="83">
        <v>325</v>
      </c>
      <c r="D129" s="19" t="s">
        <v>205</v>
      </c>
      <c r="E129" s="19"/>
      <c r="F129" s="19"/>
      <c r="G129" s="19"/>
      <c r="H129" s="19"/>
      <c r="I129" s="19"/>
      <c r="J129" s="19"/>
      <c r="K129" s="19"/>
      <c r="L129" s="19"/>
      <c r="M129" s="19"/>
      <c r="N129" s="19"/>
      <c r="O129" s="19"/>
      <c r="P129" s="19"/>
      <c r="Q129" s="19"/>
      <c r="R129" s="19"/>
      <c r="S129" s="19"/>
      <c r="T129" s="19"/>
    </row>
    <row r="130" spans="1:20" hidden="1" outlineLevel="1" x14ac:dyDescent="0.15">
      <c r="A130" s="19"/>
      <c r="B130" s="19" t="s">
        <v>110</v>
      </c>
      <c r="C130" s="74">
        <v>3985</v>
      </c>
      <c r="D130" s="19" t="s">
        <v>205</v>
      </c>
      <c r="E130" s="19"/>
      <c r="F130" s="19"/>
      <c r="G130" s="19"/>
      <c r="H130" s="19"/>
      <c r="I130" s="19"/>
      <c r="J130" s="19"/>
      <c r="K130" s="19"/>
      <c r="L130" s="19"/>
      <c r="M130" s="19"/>
      <c r="N130" s="19"/>
      <c r="O130" s="19"/>
      <c r="P130" s="19"/>
      <c r="Q130" s="19"/>
      <c r="R130" s="19"/>
      <c r="S130" s="19"/>
      <c r="T130" s="19"/>
    </row>
    <row r="131" spans="1:20" hidden="1" outlineLevel="1" x14ac:dyDescent="0.15">
      <c r="A131" s="19"/>
      <c r="B131" s="19" t="s">
        <v>179</v>
      </c>
      <c r="C131" s="74">
        <v>13214</v>
      </c>
      <c r="D131" s="19" t="s">
        <v>205</v>
      </c>
      <c r="E131" s="19"/>
      <c r="F131" s="19"/>
      <c r="G131" s="19"/>
      <c r="H131" s="19"/>
      <c r="I131" s="19"/>
      <c r="J131" s="19"/>
      <c r="K131" s="19"/>
      <c r="L131" s="19"/>
      <c r="M131" s="19"/>
      <c r="N131" s="19"/>
      <c r="O131" s="19"/>
      <c r="P131" s="19"/>
      <c r="Q131" s="19"/>
      <c r="R131" s="19"/>
      <c r="S131" s="19"/>
      <c r="T131" s="19"/>
    </row>
    <row r="132" spans="1:20" hidden="1" outlineLevel="1" x14ac:dyDescent="0.15">
      <c r="A132" s="19"/>
      <c r="B132" s="19" t="s">
        <v>73</v>
      </c>
      <c r="C132" s="74">
        <v>13396</v>
      </c>
      <c r="D132" s="19" t="s">
        <v>205</v>
      </c>
      <c r="E132" s="19"/>
      <c r="F132" s="19"/>
      <c r="G132" s="19"/>
      <c r="H132" s="19"/>
      <c r="I132" s="19"/>
      <c r="J132" s="19"/>
      <c r="K132" s="19"/>
      <c r="L132" s="19"/>
      <c r="M132" s="19"/>
      <c r="N132" s="19"/>
      <c r="O132" s="19"/>
      <c r="P132" s="19"/>
      <c r="Q132" s="19"/>
      <c r="R132" s="19"/>
      <c r="S132" s="19"/>
      <c r="T132" s="19"/>
    </row>
    <row r="133" spans="1:20" hidden="1" outlineLevel="1" x14ac:dyDescent="0.15">
      <c r="A133" s="19"/>
      <c r="B133" s="19"/>
      <c r="C133" s="84"/>
      <c r="D133" s="84"/>
      <c r="E133" s="19"/>
      <c r="F133" s="19"/>
      <c r="G133" s="19"/>
      <c r="H133" s="19"/>
      <c r="I133" s="19"/>
      <c r="J133" s="19"/>
      <c r="K133" s="19"/>
      <c r="L133" s="19"/>
      <c r="M133" s="19"/>
      <c r="N133" s="19"/>
      <c r="O133" s="19"/>
      <c r="P133" s="19"/>
      <c r="Q133" s="19"/>
      <c r="R133" s="19"/>
      <c r="S133" s="19"/>
      <c r="T133" s="19"/>
    </row>
    <row r="134" spans="1:20" s="85" customFormat="1" hidden="1" outlineLevel="1" x14ac:dyDescent="0.15">
      <c r="A134" s="35"/>
      <c r="B134" s="76" t="s">
        <v>318</v>
      </c>
      <c r="C134" s="67"/>
      <c r="D134" s="67"/>
      <c r="E134" s="67"/>
      <c r="F134" s="67"/>
      <c r="G134" s="67"/>
      <c r="H134" s="67"/>
      <c r="I134" s="67"/>
      <c r="J134" s="67"/>
      <c r="K134" s="67"/>
      <c r="L134" s="67"/>
      <c r="M134" s="67"/>
      <c r="N134" s="67"/>
      <c r="O134" s="67"/>
      <c r="P134" s="67"/>
      <c r="Q134" s="35"/>
      <c r="R134" s="35"/>
      <c r="S134" s="35"/>
      <c r="T134" s="35"/>
    </row>
    <row r="135" spans="1:20" s="85" customFormat="1" ht="14" hidden="1" outlineLevel="1" x14ac:dyDescent="0.15">
      <c r="A135" s="35"/>
      <c r="B135" s="86" t="s">
        <v>211</v>
      </c>
      <c r="C135" s="67"/>
      <c r="D135" s="67"/>
      <c r="E135" s="67"/>
      <c r="F135" s="67"/>
      <c r="G135" s="67"/>
      <c r="H135" s="67"/>
      <c r="I135" s="67"/>
      <c r="J135" s="67"/>
      <c r="K135" s="67"/>
      <c r="L135" s="67"/>
      <c r="M135" s="67"/>
      <c r="N135" s="67"/>
      <c r="O135" s="67"/>
      <c r="P135" s="67"/>
      <c r="Q135" s="35"/>
      <c r="R135" s="35"/>
      <c r="S135" s="35"/>
      <c r="T135" s="35"/>
    </row>
    <row r="136" spans="1:20" s="85" customFormat="1" hidden="1" outlineLevel="1" x14ac:dyDescent="0.15">
      <c r="A136" s="35"/>
      <c r="B136" s="76" t="s">
        <v>206</v>
      </c>
      <c r="C136" s="67"/>
      <c r="D136" s="67"/>
      <c r="E136" s="67"/>
      <c r="F136" s="67"/>
      <c r="G136" s="67"/>
      <c r="H136" s="67"/>
      <c r="I136" s="67"/>
      <c r="J136" s="67"/>
      <c r="K136" s="67"/>
      <c r="L136" s="67"/>
      <c r="M136" s="67"/>
      <c r="N136" s="67"/>
      <c r="O136" s="67"/>
      <c r="P136" s="67"/>
      <c r="Q136" s="35"/>
      <c r="R136" s="35"/>
      <c r="S136" s="35"/>
      <c r="T136" s="35"/>
    </row>
    <row r="137" spans="1:20" s="85" customFormat="1" ht="14" hidden="1" outlineLevel="1" x14ac:dyDescent="0.15">
      <c r="A137" s="35"/>
      <c r="B137" s="69" t="s">
        <v>202</v>
      </c>
      <c r="C137" s="67"/>
      <c r="D137" s="67"/>
      <c r="E137" s="67"/>
      <c r="F137" s="67"/>
      <c r="G137" s="67"/>
      <c r="H137" s="67"/>
      <c r="I137" s="67"/>
      <c r="J137" s="67"/>
      <c r="K137" s="67"/>
      <c r="L137" s="67"/>
      <c r="M137" s="67"/>
      <c r="N137" s="67"/>
      <c r="O137" s="67"/>
      <c r="P137" s="67"/>
      <c r="Q137" s="35"/>
      <c r="R137" s="35"/>
      <c r="S137" s="35"/>
      <c r="T137" s="35"/>
    </row>
    <row r="138" spans="1:20" s="85" customFormat="1" hidden="1" outlineLevel="1" x14ac:dyDescent="0.15">
      <c r="A138" s="35"/>
      <c r="B138" s="67" t="s">
        <v>425</v>
      </c>
      <c r="C138" s="67"/>
      <c r="D138" s="67"/>
      <c r="E138" s="67"/>
      <c r="F138" s="67"/>
      <c r="G138" s="67"/>
      <c r="H138" s="67"/>
      <c r="I138" s="67"/>
      <c r="J138" s="67"/>
      <c r="K138" s="67"/>
      <c r="L138" s="67"/>
      <c r="M138" s="67"/>
      <c r="N138" s="67"/>
      <c r="O138" s="67"/>
      <c r="P138" s="67"/>
      <c r="Q138" s="35"/>
      <c r="R138" s="35"/>
      <c r="S138" s="35"/>
      <c r="T138" s="35"/>
    </row>
    <row r="139" spans="1:20" s="85" customFormat="1" ht="14" hidden="1" outlineLevel="1" x14ac:dyDescent="0.15">
      <c r="A139" s="35"/>
      <c r="B139" s="87" t="s">
        <v>317</v>
      </c>
      <c r="C139" s="67"/>
      <c r="D139" s="67"/>
      <c r="E139" s="67"/>
      <c r="F139" s="67"/>
      <c r="G139" s="67"/>
      <c r="H139" s="67"/>
      <c r="I139" s="67"/>
      <c r="J139" s="67"/>
      <c r="K139" s="67"/>
      <c r="L139" s="67"/>
      <c r="M139" s="67"/>
      <c r="N139" s="67"/>
      <c r="O139" s="67"/>
      <c r="P139" s="67"/>
      <c r="Q139" s="35"/>
      <c r="R139" s="35"/>
      <c r="S139" s="35"/>
      <c r="T139" s="35"/>
    </row>
    <row r="140" spans="1:20" hidden="1" outlineLevel="1" x14ac:dyDescent="0.15">
      <c r="A140" s="19"/>
      <c r="B140" s="19"/>
      <c r="C140" s="19"/>
      <c r="D140" s="19"/>
      <c r="E140" s="19"/>
      <c r="F140" s="19"/>
      <c r="G140" s="19"/>
      <c r="H140" s="19"/>
      <c r="I140" s="19"/>
      <c r="J140" s="19"/>
      <c r="K140" s="19"/>
      <c r="L140" s="19"/>
      <c r="M140" s="19"/>
      <c r="N140" s="19"/>
      <c r="O140" s="19"/>
      <c r="P140" s="19"/>
      <c r="Q140" s="19"/>
      <c r="R140" s="19"/>
      <c r="S140" s="19"/>
      <c r="T140" s="19"/>
    </row>
    <row r="141" spans="1:20" collapsed="1" x14ac:dyDescent="0.15">
      <c r="A141" s="19"/>
      <c r="B141" s="70" t="s">
        <v>112</v>
      </c>
      <c r="C141" s="19"/>
      <c r="D141" s="19"/>
      <c r="E141" s="19"/>
      <c r="F141" s="19"/>
      <c r="G141" s="19"/>
      <c r="H141" s="19"/>
      <c r="I141" s="19"/>
      <c r="J141" s="19"/>
      <c r="K141" s="19"/>
      <c r="L141" s="19"/>
      <c r="M141" s="19"/>
      <c r="N141" s="19"/>
      <c r="O141" s="19"/>
      <c r="P141" s="19"/>
      <c r="Q141" s="19"/>
      <c r="R141" s="19"/>
      <c r="S141" s="19"/>
      <c r="T141" s="19"/>
    </row>
    <row r="142" spans="1:20" x14ac:dyDescent="0.15">
      <c r="A142" s="19"/>
      <c r="B142" s="19"/>
      <c r="C142" s="19"/>
      <c r="D142" s="19"/>
      <c r="E142" s="19"/>
      <c r="F142" s="19"/>
      <c r="G142" s="19"/>
      <c r="H142" s="19"/>
      <c r="I142" s="19"/>
      <c r="J142" s="19"/>
      <c r="K142" s="19"/>
      <c r="L142" s="19"/>
      <c r="M142" s="19"/>
      <c r="N142" s="19"/>
      <c r="O142" s="19"/>
      <c r="P142" s="19"/>
      <c r="Q142" s="19"/>
      <c r="R142" s="19"/>
      <c r="S142" s="19"/>
      <c r="T142" s="19"/>
    </row>
    <row r="143" spans="1:20" ht="14" x14ac:dyDescent="0.15">
      <c r="A143" s="19"/>
      <c r="B143" s="37" t="s">
        <v>160</v>
      </c>
      <c r="C143" s="19"/>
      <c r="D143" s="19"/>
      <c r="E143" s="19"/>
      <c r="F143" s="19"/>
      <c r="G143" s="19"/>
      <c r="H143" s="19"/>
      <c r="I143" s="19"/>
      <c r="J143" s="19"/>
      <c r="K143" s="19"/>
      <c r="L143" s="19"/>
      <c r="M143" s="19"/>
      <c r="N143" s="19"/>
      <c r="O143" s="19"/>
      <c r="P143" s="19"/>
      <c r="Q143" s="19"/>
      <c r="R143" s="19"/>
      <c r="S143" s="19"/>
      <c r="T143" s="19"/>
    </row>
    <row r="144" spans="1:20" ht="70" hidden="1" outlineLevel="1" x14ac:dyDescent="0.15">
      <c r="A144" s="19"/>
      <c r="B144" s="73" t="s">
        <v>114</v>
      </c>
      <c r="C144" s="73" t="s">
        <v>312</v>
      </c>
      <c r="D144" s="73" t="s">
        <v>313</v>
      </c>
      <c r="E144" s="73" t="s">
        <v>314</v>
      </c>
      <c r="F144" s="73" t="s">
        <v>315</v>
      </c>
      <c r="G144" s="19"/>
      <c r="H144" s="19"/>
      <c r="I144" s="19"/>
      <c r="J144" s="19"/>
      <c r="K144" s="19"/>
      <c r="L144" s="19"/>
      <c r="M144" s="19"/>
      <c r="N144" s="19"/>
      <c r="O144" s="19"/>
      <c r="P144" s="19"/>
      <c r="Q144" s="19"/>
      <c r="R144" s="19"/>
      <c r="S144" s="19"/>
      <c r="T144" s="19"/>
    </row>
    <row r="145" spans="1:20" ht="14" hidden="1" outlineLevel="1" x14ac:dyDescent="0.15">
      <c r="A145" s="19"/>
      <c r="B145" s="88" t="s">
        <v>19</v>
      </c>
      <c r="C145" s="74">
        <v>0.01</v>
      </c>
      <c r="D145" s="74">
        <v>5.0000000000000001E-3</v>
      </c>
      <c r="E145" s="74">
        <v>0.8</v>
      </c>
      <c r="F145" s="74">
        <v>0.7</v>
      </c>
      <c r="G145" s="19"/>
      <c r="H145" s="19"/>
      <c r="I145" s="19"/>
      <c r="J145" s="19"/>
      <c r="K145" s="19"/>
      <c r="L145" s="19"/>
      <c r="M145" s="19"/>
      <c r="N145" s="19"/>
      <c r="O145" s="19"/>
      <c r="P145" s="19"/>
      <c r="Q145" s="19"/>
      <c r="R145" s="19"/>
      <c r="S145" s="19"/>
      <c r="T145" s="19"/>
    </row>
    <row r="146" spans="1:20" ht="14" hidden="1" customHeight="1" outlineLevel="1" x14ac:dyDescent="0.15">
      <c r="A146" s="19"/>
      <c r="B146" s="88" t="s">
        <v>20</v>
      </c>
      <c r="C146" s="74">
        <v>0.03</v>
      </c>
      <c r="D146" s="74">
        <v>0.15</v>
      </c>
      <c r="E146" s="74">
        <v>0.8</v>
      </c>
      <c r="F146" s="74">
        <v>0.7</v>
      </c>
      <c r="G146" s="19"/>
      <c r="H146" s="19"/>
      <c r="I146" s="19"/>
      <c r="J146" s="19"/>
      <c r="K146" s="19"/>
      <c r="L146" s="19"/>
      <c r="M146" s="19"/>
      <c r="N146" s="19"/>
      <c r="O146" s="19"/>
      <c r="P146" s="19"/>
      <c r="Q146" s="19"/>
      <c r="R146" s="19"/>
      <c r="S146" s="19"/>
      <c r="T146" s="19"/>
    </row>
    <row r="147" spans="1:20" ht="28" hidden="1" outlineLevel="1" x14ac:dyDescent="0.15">
      <c r="A147" s="19"/>
      <c r="B147" s="88" t="s">
        <v>21</v>
      </c>
      <c r="C147" s="74">
        <v>0.03</v>
      </c>
      <c r="D147" s="74">
        <v>0.35</v>
      </c>
      <c r="E147" s="74">
        <v>1</v>
      </c>
      <c r="F147" s="74">
        <v>0.7</v>
      </c>
      <c r="G147" s="19"/>
      <c r="H147" s="19"/>
      <c r="I147" s="19"/>
      <c r="J147" s="19"/>
      <c r="K147" s="19"/>
      <c r="L147" s="19"/>
      <c r="M147" s="19"/>
      <c r="N147" s="19"/>
      <c r="O147" s="19"/>
      <c r="P147" s="19"/>
      <c r="Q147" s="19"/>
      <c r="R147" s="19"/>
      <c r="S147" s="19"/>
      <c r="T147" s="19"/>
    </row>
    <row r="148" spans="1:20" ht="14" hidden="1" outlineLevel="1" x14ac:dyDescent="0.15">
      <c r="A148" s="19"/>
      <c r="B148" s="88" t="s">
        <v>22</v>
      </c>
      <c r="C148" s="74">
        <v>0.01</v>
      </c>
      <c r="D148" s="74">
        <v>0.5</v>
      </c>
      <c r="E148" s="74">
        <v>0.5</v>
      </c>
      <c r="F148" s="74">
        <v>0.7</v>
      </c>
      <c r="G148" s="19"/>
      <c r="H148" s="19"/>
      <c r="I148" s="19"/>
      <c r="J148" s="19"/>
      <c r="K148" s="19"/>
      <c r="L148" s="19"/>
      <c r="M148" s="19"/>
      <c r="N148" s="19"/>
      <c r="O148" s="19"/>
      <c r="P148" s="19"/>
      <c r="Q148" s="19"/>
      <c r="R148" s="19"/>
      <c r="S148" s="19"/>
      <c r="T148" s="19"/>
    </row>
    <row r="149" spans="1:20" ht="28" hidden="1" outlineLevel="1" x14ac:dyDescent="0.15">
      <c r="A149" s="19"/>
      <c r="B149" s="88" t="s">
        <v>115</v>
      </c>
      <c r="C149" s="74">
        <v>0.03</v>
      </c>
      <c r="D149" s="74">
        <v>0.25</v>
      </c>
      <c r="E149" s="74">
        <v>1</v>
      </c>
      <c r="F149" s="74">
        <v>0.9</v>
      </c>
      <c r="G149" s="19"/>
      <c r="H149" s="19"/>
      <c r="I149" s="19"/>
      <c r="J149" s="19"/>
      <c r="K149" s="19"/>
      <c r="L149" s="19"/>
      <c r="M149" s="19"/>
      <c r="N149" s="19"/>
      <c r="O149" s="19"/>
      <c r="P149" s="19"/>
      <c r="Q149" s="19"/>
      <c r="R149" s="19"/>
      <c r="S149" s="19"/>
      <c r="T149" s="19"/>
    </row>
    <row r="150" spans="1:20" ht="14" hidden="1" outlineLevel="1" x14ac:dyDescent="0.15">
      <c r="A150" s="19"/>
      <c r="B150" s="88" t="s">
        <v>23</v>
      </c>
      <c r="C150" s="74">
        <v>0.01</v>
      </c>
      <c r="D150" s="74">
        <v>0.15</v>
      </c>
      <c r="E150" s="74">
        <v>1</v>
      </c>
      <c r="F150" s="74">
        <v>0.95</v>
      </c>
      <c r="G150" s="19"/>
      <c r="H150" s="19"/>
      <c r="I150" s="19"/>
      <c r="J150" s="19"/>
      <c r="K150" s="19"/>
      <c r="L150" s="19"/>
      <c r="M150" s="19"/>
      <c r="N150" s="19"/>
      <c r="O150" s="19"/>
      <c r="P150" s="19"/>
      <c r="Q150" s="19"/>
      <c r="R150" s="19"/>
      <c r="S150" s="19"/>
      <c r="T150" s="19"/>
    </row>
    <row r="151" spans="1:20" ht="28" hidden="1" outlineLevel="1" x14ac:dyDescent="0.15">
      <c r="A151" s="19"/>
      <c r="B151" s="88" t="s">
        <v>116</v>
      </c>
      <c r="C151" s="74">
        <v>0.01</v>
      </c>
      <c r="D151" s="74">
        <v>0.1</v>
      </c>
      <c r="E151" s="74">
        <v>0.8</v>
      </c>
      <c r="F151" s="74">
        <v>0.8</v>
      </c>
      <c r="G151" s="19"/>
      <c r="H151" s="19"/>
      <c r="I151" s="19"/>
      <c r="J151" s="19"/>
      <c r="K151" s="19"/>
      <c r="L151" s="19"/>
      <c r="M151" s="19"/>
      <c r="N151" s="19"/>
      <c r="O151" s="19"/>
      <c r="P151" s="19"/>
      <c r="Q151" s="19"/>
      <c r="R151" s="19"/>
      <c r="S151" s="19"/>
      <c r="T151" s="19"/>
    </row>
    <row r="152" spans="1:20" ht="14" hidden="1" outlineLevel="1" x14ac:dyDescent="0.15">
      <c r="A152" s="19"/>
      <c r="B152" s="88" t="s">
        <v>113</v>
      </c>
      <c r="C152" s="74">
        <v>5.0000000000000001E-3</v>
      </c>
      <c r="D152" s="74">
        <v>0.2</v>
      </c>
      <c r="E152" s="74">
        <v>0.5</v>
      </c>
      <c r="F152" s="74">
        <v>0.5</v>
      </c>
      <c r="G152" s="19"/>
      <c r="H152" s="19"/>
      <c r="I152" s="19"/>
      <c r="J152" s="19"/>
      <c r="K152" s="19"/>
      <c r="L152" s="19"/>
      <c r="M152" s="19"/>
      <c r="N152" s="19"/>
      <c r="O152" s="19"/>
      <c r="P152" s="19"/>
      <c r="Q152" s="19"/>
      <c r="R152" s="19"/>
      <c r="S152" s="19"/>
      <c r="T152" s="19"/>
    </row>
    <row r="153" spans="1:20" hidden="1" outlineLevel="1" x14ac:dyDescent="0.15">
      <c r="A153" s="19"/>
      <c r="B153" s="88"/>
      <c r="C153" s="80"/>
      <c r="D153" s="80"/>
      <c r="E153" s="80"/>
      <c r="F153" s="80"/>
      <c r="G153" s="19"/>
      <c r="H153" s="19"/>
      <c r="I153" s="19"/>
      <c r="J153" s="19"/>
      <c r="K153" s="19"/>
      <c r="L153" s="19"/>
      <c r="M153" s="19"/>
      <c r="N153" s="19"/>
      <c r="O153" s="19"/>
      <c r="P153" s="19"/>
      <c r="Q153" s="19"/>
      <c r="R153" s="19"/>
      <c r="S153" s="19"/>
      <c r="T153" s="19"/>
    </row>
    <row r="154" spans="1:20" ht="12.75" hidden="1" customHeight="1" outlineLevel="1" x14ac:dyDescent="0.15">
      <c r="A154" s="19"/>
      <c r="B154" s="76" t="s">
        <v>207</v>
      </c>
      <c r="C154" s="67"/>
      <c r="D154" s="67"/>
      <c r="E154" s="67"/>
      <c r="F154" s="67"/>
      <c r="G154" s="68"/>
      <c r="H154" s="68"/>
      <c r="I154" s="68"/>
      <c r="J154" s="68"/>
      <c r="K154" s="68"/>
      <c r="L154" s="68"/>
      <c r="M154" s="68"/>
      <c r="N154" s="68"/>
      <c r="O154" s="68"/>
      <c r="P154" s="68"/>
      <c r="Q154" s="19"/>
      <c r="R154" s="19"/>
      <c r="S154" s="19"/>
      <c r="T154" s="19"/>
    </row>
    <row r="155" spans="1:20" ht="12.75" hidden="1" customHeight="1" outlineLevel="1" x14ac:dyDescent="0.15">
      <c r="A155" s="19"/>
      <c r="B155" s="76" t="s">
        <v>208</v>
      </c>
      <c r="C155" s="67"/>
      <c r="D155" s="67"/>
      <c r="E155" s="67"/>
      <c r="F155" s="67"/>
      <c r="G155" s="68"/>
      <c r="H155" s="68"/>
      <c r="I155" s="68"/>
      <c r="J155" s="68"/>
      <c r="K155" s="68"/>
      <c r="L155" s="68"/>
      <c r="M155" s="68"/>
      <c r="N155" s="68"/>
      <c r="O155" s="68"/>
      <c r="P155" s="68"/>
      <c r="Q155" s="19"/>
      <c r="R155" s="19"/>
      <c r="S155" s="19"/>
      <c r="T155" s="19"/>
    </row>
    <row r="156" spans="1:20" collapsed="1" x14ac:dyDescent="0.15">
      <c r="A156" s="19"/>
      <c r="B156" s="70" t="s">
        <v>112</v>
      </c>
      <c r="C156" s="19"/>
      <c r="D156" s="19"/>
      <c r="E156" s="19"/>
      <c r="F156" s="19"/>
      <c r="G156" s="19"/>
      <c r="H156" s="19"/>
      <c r="I156" s="19"/>
      <c r="J156" s="19"/>
      <c r="K156" s="19"/>
      <c r="L156" s="19"/>
      <c r="M156" s="19"/>
      <c r="N156" s="19"/>
      <c r="O156" s="19"/>
      <c r="P156" s="19"/>
      <c r="Q156" s="19"/>
      <c r="R156" s="19"/>
      <c r="S156" s="19"/>
      <c r="T156" s="19"/>
    </row>
    <row r="157" spans="1:20" x14ac:dyDescent="0.15">
      <c r="A157" s="19"/>
      <c r="B157" s="19"/>
      <c r="C157" s="19"/>
      <c r="D157" s="19"/>
      <c r="E157" s="19"/>
      <c r="F157" s="19"/>
      <c r="G157" s="19"/>
      <c r="H157" s="19"/>
      <c r="I157" s="19"/>
      <c r="J157" s="19"/>
      <c r="K157" s="19"/>
      <c r="L157" s="19"/>
      <c r="M157" s="19"/>
      <c r="N157" s="19"/>
      <c r="O157" s="19"/>
      <c r="P157" s="19"/>
      <c r="Q157" s="19"/>
      <c r="R157" s="19"/>
      <c r="S157" s="19"/>
      <c r="T157" s="19"/>
    </row>
    <row r="158" spans="1:20" ht="14" x14ac:dyDescent="0.15">
      <c r="A158" s="19"/>
      <c r="B158" s="37" t="s">
        <v>725</v>
      </c>
      <c r="C158" s="19"/>
      <c r="D158" s="19"/>
      <c r="E158" s="19"/>
      <c r="F158" s="19"/>
      <c r="G158" s="19"/>
      <c r="H158" s="19"/>
      <c r="I158" s="19"/>
      <c r="J158" s="19"/>
      <c r="K158" s="19"/>
      <c r="L158" s="19"/>
      <c r="M158" s="19"/>
      <c r="N158" s="19"/>
      <c r="O158" s="19"/>
      <c r="P158" s="19"/>
      <c r="Q158" s="19"/>
      <c r="R158" s="19"/>
      <c r="S158" s="19"/>
      <c r="T158" s="19"/>
    </row>
    <row r="159" spans="1:20" ht="56" hidden="1" outlineLevel="1" x14ac:dyDescent="0.15">
      <c r="A159" s="19"/>
      <c r="B159" s="369" t="s">
        <v>730</v>
      </c>
      <c r="C159" s="71"/>
      <c r="D159" s="71"/>
      <c r="E159" s="19"/>
      <c r="F159" s="369" t="s">
        <v>717</v>
      </c>
      <c r="G159" s="71"/>
      <c r="H159" s="19"/>
      <c r="I159" s="19"/>
      <c r="J159" s="417" t="s">
        <v>810</v>
      </c>
      <c r="K159" s="417" t="s">
        <v>811</v>
      </c>
      <c r="L159" s="350"/>
      <c r="M159" s="350"/>
      <c r="N159" s="350"/>
      <c r="O159" s="19"/>
      <c r="P159" s="19"/>
      <c r="Q159" s="19"/>
      <c r="R159" s="19"/>
      <c r="S159" s="19"/>
      <c r="T159" s="19"/>
    </row>
    <row r="160" spans="1:20" ht="12.75" hidden="1" customHeight="1" outlineLevel="1" x14ac:dyDescent="0.15">
      <c r="A160" s="19"/>
      <c r="B160" s="19"/>
      <c r="C160" s="71" t="s">
        <v>718</v>
      </c>
      <c r="D160" s="71" t="s">
        <v>719</v>
      </c>
      <c r="E160" s="19"/>
      <c r="F160" s="71" t="s">
        <v>718</v>
      </c>
      <c r="G160" s="71" t="s">
        <v>719</v>
      </c>
      <c r="H160" s="19"/>
      <c r="I160" s="19"/>
      <c r="J160" s="19"/>
      <c r="K160" s="19"/>
      <c r="L160" s="350"/>
      <c r="M160" s="350"/>
      <c r="N160" s="350"/>
      <c r="O160" s="19"/>
      <c r="P160" s="19"/>
      <c r="Q160" s="19"/>
      <c r="R160" s="19"/>
      <c r="S160" s="19"/>
      <c r="T160" s="19"/>
    </row>
    <row r="161" spans="1:20" ht="12.75" hidden="1" customHeight="1" outlineLevel="1" x14ac:dyDescent="0.15">
      <c r="A161" s="19"/>
      <c r="B161" s="19"/>
      <c r="C161" s="71" t="s">
        <v>720</v>
      </c>
      <c r="D161" s="71" t="s">
        <v>721</v>
      </c>
      <c r="E161" s="19" t="s">
        <v>731</v>
      </c>
      <c r="F161" s="71" t="s">
        <v>720</v>
      </c>
      <c r="G161" s="71" t="s">
        <v>721</v>
      </c>
      <c r="H161" s="19" t="s">
        <v>731</v>
      </c>
      <c r="I161" s="19"/>
      <c r="J161" s="19" t="s">
        <v>731</v>
      </c>
      <c r="K161" s="19" t="s">
        <v>731</v>
      </c>
      <c r="L161" s="350"/>
      <c r="M161" s="350"/>
      <c r="N161" s="350"/>
      <c r="O161" s="19"/>
      <c r="P161" s="19"/>
      <c r="Q161" s="19"/>
      <c r="R161" s="19"/>
      <c r="S161" s="19"/>
      <c r="T161" s="19"/>
    </row>
    <row r="162" spans="1:20" ht="12.75" hidden="1" customHeight="1" outlineLevel="1" x14ac:dyDescent="0.15">
      <c r="A162" s="19"/>
      <c r="B162" s="19" t="s">
        <v>722</v>
      </c>
      <c r="C162" s="366">
        <v>49.724908868687692</v>
      </c>
      <c r="D162" s="366">
        <v>693.68883379960062</v>
      </c>
      <c r="E162" s="367"/>
      <c r="F162" s="366">
        <v>94.985388115761367</v>
      </c>
      <c r="G162" s="366">
        <v>672.68059667106627</v>
      </c>
      <c r="H162" s="19"/>
      <c r="I162" s="19"/>
      <c r="J162" s="19"/>
      <c r="K162" s="19"/>
      <c r="L162" s="350"/>
      <c r="M162" s="350"/>
      <c r="N162" s="350"/>
      <c r="O162" s="19"/>
      <c r="P162" s="19"/>
      <c r="Q162" s="19"/>
      <c r="R162" s="19"/>
      <c r="S162" s="19"/>
      <c r="T162" s="19"/>
    </row>
    <row r="163" spans="1:20" ht="12.75" hidden="1" customHeight="1" outlineLevel="1" x14ac:dyDescent="0.15">
      <c r="A163" s="19"/>
      <c r="B163" s="19" t="s">
        <v>729</v>
      </c>
      <c r="C163" s="366">
        <v>30.227351340455552</v>
      </c>
      <c r="D163" s="366">
        <v>1013.5509628874501</v>
      </c>
      <c r="E163" s="367"/>
      <c r="F163" s="366">
        <v>19.55274033696729</v>
      </c>
      <c r="G163" s="366">
        <v>1138.3950103100892</v>
      </c>
      <c r="H163" s="19"/>
      <c r="I163" s="19"/>
      <c r="J163" s="19"/>
      <c r="K163" s="19"/>
      <c r="L163" s="350"/>
      <c r="M163" s="350"/>
      <c r="N163" s="350"/>
      <c r="O163" s="19"/>
      <c r="P163" s="19"/>
      <c r="Q163" s="19"/>
      <c r="R163" s="19"/>
      <c r="S163" s="19"/>
      <c r="T163" s="19"/>
    </row>
    <row r="164" spans="1:20" ht="12.75" hidden="1" customHeight="1" outlineLevel="1" x14ac:dyDescent="0.15">
      <c r="A164" s="19"/>
      <c r="B164" s="19" t="s">
        <v>98</v>
      </c>
      <c r="C164" s="366">
        <v>44.009792496908062</v>
      </c>
      <c r="D164" s="366">
        <v>713.13929377088675</v>
      </c>
      <c r="E164" s="367"/>
      <c r="F164" s="366">
        <v>57.792045454545452</v>
      </c>
      <c r="G164" s="366">
        <v>645.24156902857158</v>
      </c>
      <c r="H164" s="19"/>
      <c r="I164" s="19"/>
      <c r="J164" s="19"/>
      <c r="K164" s="19"/>
      <c r="L164" s="350"/>
      <c r="M164" s="350"/>
      <c r="N164" s="350"/>
      <c r="O164" s="19"/>
      <c r="P164" s="19"/>
      <c r="Q164" s="19"/>
      <c r="R164" s="19"/>
      <c r="S164" s="19"/>
      <c r="T164" s="19"/>
    </row>
    <row r="165" spans="1:20" ht="12.75" hidden="1" customHeight="1" outlineLevel="1" x14ac:dyDescent="0.15">
      <c r="A165" s="19"/>
      <c r="B165" s="35" t="s">
        <v>728</v>
      </c>
      <c r="C165" s="367"/>
      <c r="D165" s="367"/>
      <c r="E165" s="367"/>
      <c r="F165" s="367"/>
      <c r="G165" s="367"/>
      <c r="H165" s="19"/>
      <c r="I165" s="19"/>
      <c r="J165" s="19"/>
      <c r="K165" s="19"/>
      <c r="L165" s="350"/>
      <c r="M165" s="350"/>
      <c r="N165" s="350"/>
      <c r="O165" s="19"/>
      <c r="P165" s="19"/>
      <c r="Q165" s="19"/>
      <c r="R165" s="19"/>
      <c r="S165" s="19"/>
      <c r="T165" s="19"/>
    </row>
    <row r="166" spans="1:20" ht="12.75" hidden="1" customHeight="1" outlineLevel="1" x14ac:dyDescent="0.15">
      <c r="A166" s="19"/>
      <c r="B166" s="19" t="s">
        <v>320</v>
      </c>
      <c r="C166" s="368">
        <f>$C$163</f>
        <v>30.227351340455552</v>
      </c>
      <c r="D166" s="368">
        <f>0.9*D$163</f>
        <v>912.19586659870504</v>
      </c>
      <c r="E166" s="370">
        <f>D166/1000/1000</f>
        <v>9.1219586659870499E-4</v>
      </c>
      <c r="F166" s="368">
        <f>$F$163</f>
        <v>19.55274033696729</v>
      </c>
      <c r="G166" s="368">
        <f>0.9*G$163</f>
        <v>1024.5555092790803</v>
      </c>
      <c r="H166" s="370">
        <f>G166/1000/1000</f>
        <v>1.0245555092790804E-3</v>
      </c>
      <c r="I166" s="19"/>
      <c r="J166" s="370">
        <f>0.1*E167</f>
        <v>1.01355096288745E-4</v>
      </c>
      <c r="K166" s="370">
        <f>0.1*H167</f>
        <v>1.1383950103100894E-4</v>
      </c>
      <c r="L166" s="350"/>
      <c r="M166" s="350"/>
      <c r="N166" s="350"/>
      <c r="O166" s="19"/>
      <c r="P166" s="19"/>
      <c r="Q166" s="19"/>
      <c r="R166" s="19"/>
      <c r="S166" s="19"/>
      <c r="T166" s="19"/>
    </row>
    <row r="167" spans="1:20" ht="12.75" hidden="1" customHeight="1" outlineLevel="1" x14ac:dyDescent="0.15">
      <c r="A167" s="19"/>
      <c r="B167" s="19" t="s">
        <v>322</v>
      </c>
      <c r="C167" s="368">
        <f>$C$163</f>
        <v>30.227351340455552</v>
      </c>
      <c r="D167" s="368">
        <f>D$163</f>
        <v>1013.5509628874501</v>
      </c>
      <c r="E167" s="370">
        <f t="shared" ref="E167:E178" si="1">D167/1000/1000</f>
        <v>1.0135509628874499E-3</v>
      </c>
      <c r="F167" s="368">
        <f>$F$163</f>
        <v>19.55274033696729</v>
      </c>
      <c r="G167" s="368">
        <f>G$163</f>
        <v>1138.3950103100892</v>
      </c>
      <c r="H167" s="370">
        <f t="shared" ref="H167:H178" si="2">G167/1000/1000</f>
        <v>1.1383950103100893E-3</v>
      </c>
      <c r="I167" s="19"/>
      <c r="J167" s="370">
        <v>0</v>
      </c>
      <c r="K167" s="370">
        <v>0</v>
      </c>
      <c r="L167" s="350"/>
      <c r="M167" s="350"/>
      <c r="N167" s="350"/>
      <c r="O167" s="19"/>
      <c r="P167" s="19"/>
      <c r="Q167" s="19"/>
      <c r="R167" s="19"/>
      <c r="S167" s="19"/>
      <c r="T167" s="19"/>
    </row>
    <row r="168" spans="1:20" ht="12.75" hidden="1" customHeight="1" outlineLevel="1" x14ac:dyDescent="0.15">
      <c r="A168" s="19"/>
      <c r="B168" s="19" t="s">
        <v>585</v>
      </c>
      <c r="C168" s="368">
        <f t="shared" ref="C168:C173" si="3">$C$162</f>
        <v>49.724908868687692</v>
      </c>
      <c r="D168" s="368">
        <f>0.01*D$162</f>
        <v>6.936888337996006</v>
      </c>
      <c r="E168" s="370">
        <f t="shared" si="1"/>
        <v>6.9368883379960057E-6</v>
      </c>
      <c r="F168" s="368">
        <f t="shared" ref="F168:F173" si="4">$F$162</f>
        <v>94.985388115761367</v>
      </c>
      <c r="G168" s="368">
        <f>0.01*G$162</f>
        <v>6.7268059667106632</v>
      </c>
      <c r="H168" s="370">
        <f t="shared" si="2"/>
        <v>6.7268059667106636E-6</v>
      </c>
      <c r="I168" s="19"/>
      <c r="J168" s="370">
        <f>0.99*E170</f>
        <v>6.8675194546160472E-4</v>
      </c>
      <c r="K168" s="370">
        <f>0.99*H170</f>
        <v>6.6595379070435556E-4</v>
      </c>
      <c r="L168" s="350"/>
      <c r="M168" s="350"/>
      <c r="N168" s="350"/>
      <c r="O168" s="19"/>
      <c r="P168" s="19"/>
      <c r="Q168" s="19"/>
      <c r="R168" s="19"/>
      <c r="S168" s="19"/>
      <c r="T168" s="19"/>
    </row>
    <row r="169" spans="1:20" ht="12.75" hidden="1" customHeight="1" outlineLevel="1" x14ac:dyDescent="0.15">
      <c r="A169" s="19"/>
      <c r="B169" s="19" t="s">
        <v>321</v>
      </c>
      <c r="C169" s="368">
        <f t="shared" si="3"/>
        <v>49.724908868687692</v>
      </c>
      <c r="D169" s="368">
        <f>0.95*D$162</f>
        <v>659.00439210962054</v>
      </c>
      <c r="E169" s="370">
        <f t="shared" si="1"/>
        <v>6.5900439210962063E-4</v>
      </c>
      <c r="F169" s="368">
        <f t="shared" si="4"/>
        <v>94.985388115761367</v>
      </c>
      <c r="G169" s="368">
        <f>0.95*G$162</f>
        <v>639.04656683751296</v>
      </c>
      <c r="H169" s="370">
        <f t="shared" si="2"/>
        <v>6.390465668375129E-4</v>
      </c>
      <c r="I169" s="19"/>
      <c r="J169" s="370">
        <f>0.05*E170</f>
        <v>3.4684441689980037E-5</v>
      </c>
      <c r="K169" s="370">
        <f>0.05*H170</f>
        <v>3.3634029833553315E-5</v>
      </c>
      <c r="L169" s="350"/>
      <c r="M169" s="350"/>
      <c r="N169" s="350"/>
      <c r="O169" s="19"/>
      <c r="P169" s="19"/>
      <c r="Q169" s="19"/>
      <c r="R169" s="19"/>
      <c r="S169" s="19"/>
      <c r="T169" s="19"/>
    </row>
    <row r="170" spans="1:20" ht="12.75" hidden="1" customHeight="1" outlineLevel="1" x14ac:dyDescent="0.15">
      <c r="A170" s="19"/>
      <c r="B170" s="19" t="s">
        <v>422</v>
      </c>
      <c r="C170" s="368">
        <f t="shared" si="3"/>
        <v>49.724908868687692</v>
      </c>
      <c r="D170" s="368">
        <f>D$162</f>
        <v>693.68883379960062</v>
      </c>
      <c r="E170" s="370">
        <f t="shared" si="1"/>
        <v>6.9368883379960068E-4</v>
      </c>
      <c r="F170" s="368">
        <f t="shared" si="4"/>
        <v>94.985388115761367</v>
      </c>
      <c r="G170" s="368">
        <f>G$162</f>
        <v>672.68059667106627</v>
      </c>
      <c r="H170" s="370">
        <f t="shared" si="2"/>
        <v>6.7268059667106622E-4</v>
      </c>
      <c r="I170" s="19"/>
      <c r="J170" s="370">
        <v>0</v>
      </c>
      <c r="K170" s="370">
        <v>0</v>
      </c>
      <c r="L170" s="350"/>
      <c r="M170" s="350"/>
      <c r="N170" s="350"/>
      <c r="O170" s="19"/>
      <c r="P170" s="19"/>
      <c r="Q170" s="19"/>
      <c r="R170" s="19"/>
      <c r="S170" s="19"/>
      <c r="T170" s="19"/>
    </row>
    <row r="171" spans="1:20" ht="12.75" hidden="1" customHeight="1" outlineLevel="1" x14ac:dyDescent="0.15">
      <c r="A171" s="19"/>
      <c r="B171" s="19" t="s">
        <v>326</v>
      </c>
      <c r="C171" s="368">
        <f t="shared" si="3"/>
        <v>49.724908868687692</v>
      </c>
      <c r="D171" s="368">
        <v>0</v>
      </c>
      <c r="E171" s="370">
        <f t="shared" si="1"/>
        <v>0</v>
      </c>
      <c r="F171" s="368">
        <f t="shared" si="4"/>
        <v>94.985388115761367</v>
      </c>
      <c r="G171" s="368">
        <v>0</v>
      </c>
      <c r="H171" s="370">
        <f t="shared" si="2"/>
        <v>0</v>
      </c>
      <c r="I171" s="19"/>
      <c r="J171" s="370">
        <f>E170</f>
        <v>6.9368883379960068E-4</v>
      </c>
      <c r="K171" s="370">
        <f>H170</f>
        <v>6.7268059667106622E-4</v>
      </c>
      <c r="L171" s="350"/>
      <c r="M171" s="350"/>
      <c r="N171" s="350"/>
      <c r="O171" s="19"/>
      <c r="P171" s="19"/>
      <c r="Q171" s="19"/>
      <c r="R171" s="19"/>
      <c r="S171" s="19"/>
      <c r="T171" s="19"/>
    </row>
    <row r="172" spans="1:20" ht="12.75" hidden="1" customHeight="1" outlineLevel="1" x14ac:dyDescent="0.15">
      <c r="A172" s="19"/>
      <c r="B172" s="19" t="s">
        <v>84</v>
      </c>
      <c r="C172" s="368">
        <f t="shared" si="3"/>
        <v>49.724908868687692</v>
      </c>
      <c r="D172" s="368">
        <f>0.5*D$162</f>
        <v>346.84441689980031</v>
      </c>
      <c r="E172" s="370">
        <f t="shared" si="1"/>
        <v>3.4684441689980034E-4</v>
      </c>
      <c r="F172" s="368">
        <f t="shared" si="4"/>
        <v>94.985388115761367</v>
      </c>
      <c r="G172" s="368">
        <f>0.5*G$162</f>
        <v>336.34029833553313</v>
      </c>
      <c r="H172" s="370">
        <f t="shared" si="2"/>
        <v>3.3634029833553311E-4</v>
      </c>
      <c r="I172" s="19"/>
      <c r="J172" s="370">
        <f>0.5*E170</f>
        <v>3.4684441689980034E-4</v>
      </c>
      <c r="K172" s="370">
        <f>0.5*H170</f>
        <v>3.3634029833553311E-4</v>
      </c>
      <c r="L172" s="350"/>
      <c r="M172" s="350"/>
      <c r="N172" s="350"/>
      <c r="O172" s="19"/>
      <c r="P172" s="19"/>
      <c r="Q172" s="19"/>
      <c r="R172" s="19"/>
      <c r="S172" s="19"/>
      <c r="T172" s="19"/>
    </row>
    <row r="173" spans="1:20" ht="12.75" hidden="1" customHeight="1" outlineLevel="1" x14ac:dyDescent="0.15">
      <c r="A173" s="19"/>
      <c r="B173" s="19" t="s">
        <v>325</v>
      </c>
      <c r="C173" s="368">
        <f t="shared" si="3"/>
        <v>49.724908868687692</v>
      </c>
      <c r="D173" s="368">
        <f>0.8*D$162</f>
        <v>554.95106703968054</v>
      </c>
      <c r="E173" s="370">
        <f t="shared" si="1"/>
        <v>5.5495106703968059E-4</v>
      </c>
      <c r="F173" s="368">
        <f t="shared" si="4"/>
        <v>94.985388115761367</v>
      </c>
      <c r="G173" s="368">
        <f>0.8*G$162</f>
        <v>538.14447733685302</v>
      </c>
      <c r="H173" s="370">
        <f t="shared" si="2"/>
        <v>5.3814447733685304E-4</v>
      </c>
      <c r="I173" s="19"/>
      <c r="J173" s="370">
        <f>0.2*E170</f>
        <v>1.3873776675992015E-4</v>
      </c>
      <c r="K173" s="370">
        <f>0.2*H170</f>
        <v>1.3453611933421326E-4</v>
      </c>
      <c r="L173" s="350"/>
      <c r="M173" s="350"/>
      <c r="N173" s="350"/>
      <c r="O173" s="19"/>
      <c r="P173" s="19"/>
      <c r="Q173" s="19"/>
      <c r="R173" s="19"/>
      <c r="S173" s="19"/>
      <c r="T173" s="19"/>
    </row>
    <row r="174" spans="1:20" ht="12.75" hidden="1" customHeight="1" outlineLevel="1" x14ac:dyDescent="0.15">
      <c r="A174" s="19"/>
      <c r="B174" s="19" t="s">
        <v>324</v>
      </c>
      <c r="C174" s="368">
        <f>$C$163</f>
        <v>30.227351340455552</v>
      </c>
      <c r="D174" s="368">
        <f>0.15*D$163</f>
        <v>152.0326444331175</v>
      </c>
      <c r="E174" s="370">
        <f t="shared" si="1"/>
        <v>1.5203264443311752E-4</v>
      </c>
      <c r="F174" s="368">
        <f>$F$163</f>
        <v>19.55274033696729</v>
      </c>
      <c r="G174" s="368">
        <f>0.15*G$163</f>
        <v>170.75925154651338</v>
      </c>
      <c r="H174" s="370">
        <f t="shared" si="2"/>
        <v>1.7075925154651339E-4</v>
      </c>
      <c r="I174" s="19"/>
      <c r="J174" s="370">
        <f>0.85*E167</f>
        <v>8.6151831845433238E-4</v>
      </c>
      <c r="K174" s="370">
        <f>0.85*H167</f>
        <v>9.6763575876357584E-4</v>
      </c>
      <c r="L174" s="350"/>
      <c r="M174" s="350"/>
      <c r="N174" s="350"/>
      <c r="O174" s="19"/>
      <c r="P174" s="19"/>
      <c r="Q174" s="19"/>
      <c r="R174" s="19"/>
      <c r="S174" s="19"/>
      <c r="T174" s="19"/>
    </row>
    <row r="175" spans="1:20" ht="12.75" hidden="1" customHeight="1" outlineLevel="1" x14ac:dyDescent="0.15">
      <c r="A175" s="19"/>
      <c r="B175" s="19" t="s">
        <v>323</v>
      </c>
      <c r="C175" s="368">
        <f>$C$163</f>
        <v>30.227351340455552</v>
      </c>
      <c r="D175" s="368">
        <v>0</v>
      </c>
      <c r="E175" s="370">
        <f t="shared" si="1"/>
        <v>0</v>
      </c>
      <c r="F175" s="368">
        <f>$F$163</f>
        <v>19.55274033696729</v>
      </c>
      <c r="G175" s="368">
        <v>0</v>
      </c>
      <c r="H175" s="370">
        <f t="shared" si="2"/>
        <v>0</v>
      </c>
      <c r="I175" s="19"/>
      <c r="J175" s="370">
        <f>E167</f>
        <v>1.0135509628874499E-3</v>
      </c>
      <c r="K175" s="370">
        <f>H167</f>
        <v>1.1383950103100893E-3</v>
      </c>
      <c r="L175" s="350"/>
      <c r="M175" s="350"/>
      <c r="N175" s="350"/>
      <c r="O175" s="19"/>
      <c r="P175" s="19"/>
      <c r="Q175" s="19"/>
      <c r="R175" s="19"/>
      <c r="S175" s="19"/>
      <c r="T175" s="19"/>
    </row>
    <row r="176" spans="1:20" ht="12.75" hidden="1" customHeight="1" outlineLevel="1" x14ac:dyDescent="0.15">
      <c r="A176" s="19"/>
      <c r="B176" s="19" t="s">
        <v>118</v>
      </c>
      <c r="C176" s="368">
        <f>$C$164</f>
        <v>44.009792496908062</v>
      </c>
      <c r="D176" s="368">
        <f>D$164</f>
        <v>713.13929377088675</v>
      </c>
      <c r="E176" s="370">
        <f t="shared" si="1"/>
        <v>7.1313929377088685E-4</v>
      </c>
      <c r="F176" s="368">
        <f>$F$164</f>
        <v>57.792045454545452</v>
      </c>
      <c r="G176" s="368">
        <f>G$164</f>
        <v>645.24156902857158</v>
      </c>
      <c r="H176" s="370">
        <f t="shared" si="2"/>
        <v>6.4524156902857151E-4</v>
      </c>
      <c r="I176" s="19"/>
      <c r="J176" s="370">
        <v>0</v>
      </c>
      <c r="K176" s="370">
        <v>0</v>
      </c>
      <c r="L176" s="350"/>
      <c r="M176" s="350"/>
      <c r="N176" s="350"/>
      <c r="O176" s="19"/>
      <c r="P176" s="19"/>
      <c r="Q176" s="19"/>
      <c r="R176" s="19"/>
      <c r="S176" s="19"/>
      <c r="T176" s="19"/>
    </row>
    <row r="177" spans="1:20" ht="12.75" hidden="1" customHeight="1" outlineLevel="1" x14ac:dyDescent="0.15">
      <c r="A177" s="19"/>
      <c r="B177" s="19" t="s">
        <v>98</v>
      </c>
      <c r="C177" s="368">
        <f>$C$164</f>
        <v>44.009792496908062</v>
      </c>
      <c r="D177" s="368">
        <f>D$164</f>
        <v>713.13929377088675</v>
      </c>
      <c r="E177" s="370">
        <f t="shared" si="1"/>
        <v>7.1313929377088685E-4</v>
      </c>
      <c r="F177" s="368">
        <f>$F$164</f>
        <v>57.792045454545452</v>
      </c>
      <c r="G177" s="368">
        <f>G$164</f>
        <v>645.24156902857158</v>
      </c>
      <c r="H177" s="370">
        <f t="shared" si="2"/>
        <v>6.4524156902857151E-4</v>
      </c>
      <c r="I177" s="19"/>
      <c r="J177" s="370">
        <v>0</v>
      </c>
      <c r="K177" s="370">
        <v>0</v>
      </c>
      <c r="L177" s="350"/>
      <c r="M177" s="350"/>
      <c r="N177" s="350"/>
      <c r="O177" s="19"/>
      <c r="P177" s="19"/>
      <c r="Q177" s="19"/>
      <c r="R177" s="19"/>
      <c r="S177" s="19"/>
      <c r="T177" s="19"/>
    </row>
    <row r="178" spans="1:20" ht="12.75" hidden="1" customHeight="1" outlineLevel="1" x14ac:dyDescent="0.15">
      <c r="A178" s="19"/>
      <c r="B178" s="19" t="s">
        <v>26</v>
      </c>
      <c r="C178" s="368">
        <f>$C$164</f>
        <v>44.009792496908062</v>
      </c>
      <c r="D178" s="368">
        <f>D$164</f>
        <v>713.13929377088675</v>
      </c>
      <c r="E178" s="370">
        <f t="shared" si="1"/>
        <v>7.1313929377088685E-4</v>
      </c>
      <c r="F178" s="368">
        <f>$F$164</f>
        <v>57.792045454545452</v>
      </c>
      <c r="G178" s="368">
        <f>G$164</f>
        <v>645.24156902857158</v>
      </c>
      <c r="H178" s="370">
        <f t="shared" si="2"/>
        <v>6.4524156902857151E-4</v>
      </c>
      <c r="I178" s="19"/>
      <c r="J178" s="370">
        <v>0</v>
      </c>
      <c r="K178" s="370">
        <v>0</v>
      </c>
      <c r="L178" s="350"/>
      <c r="M178" s="350"/>
      <c r="N178" s="350"/>
      <c r="O178" s="19"/>
      <c r="P178" s="19"/>
      <c r="Q178" s="19"/>
      <c r="R178" s="19"/>
      <c r="S178" s="19"/>
      <c r="T178" s="19"/>
    </row>
    <row r="179" spans="1:20" ht="12.75" hidden="1" customHeight="1" outlineLevel="1" x14ac:dyDescent="0.15">
      <c r="A179" s="19"/>
      <c r="B179" s="19"/>
      <c r="C179" s="350"/>
      <c r="D179" s="350"/>
      <c r="E179" s="350"/>
      <c r="F179" s="350"/>
      <c r="G179" s="350"/>
      <c r="H179" s="350"/>
      <c r="I179" s="350"/>
      <c r="J179" s="350"/>
      <c r="K179" s="350"/>
      <c r="L179" s="350"/>
      <c r="M179" s="350"/>
      <c r="N179" s="350"/>
      <c r="O179" s="19"/>
      <c r="P179" s="19"/>
      <c r="Q179" s="19"/>
      <c r="R179" s="19"/>
      <c r="S179" s="19"/>
      <c r="T179" s="19"/>
    </row>
    <row r="180" spans="1:20" ht="12.75" hidden="1" customHeight="1" outlineLevel="1" x14ac:dyDescent="0.15">
      <c r="A180" s="19"/>
      <c r="B180" s="76" t="s">
        <v>726</v>
      </c>
      <c r="C180" s="68"/>
      <c r="D180" s="68"/>
      <c r="E180" s="68"/>
      <c r="F180" s="68"/>
      <c r="G180" s="68"/>
      <c r="H180" s="68"/>
      <c r="I180" s="68"/>
      <c r="J180" s="68"/>
      <c r="K180" s="68"/>
      <c r="L180" s="68"/>
      <c r="M180" s="68"/>
      <c r="N180" s="68"/>
      <c r="O180" s="68"/>
      <c r="P180" s="68"/>
      <c r="Q180" s="19"/>
      <c r="R180" s="19"/>
      <c r="S180" s="19"/>
      <c r="T180" s="19"/>
    </row>
    <row r="181" spans="1:20" ht="12.75" hidden="1" customHeight="1" outlineLevel="1" x14ac:dyDescent="0.2">
      <c r="A181" s="19"/>
      <c r="B181" s="228" t="s">
        <v>727</v>
      </c>
      <c r="C181" s="68"/>
      <c r="D181" s="68"/>
      <c r="E181" s="68"/>
      <c r="F181" s="68"/>
      <c r="G181" s="68"/>
      <c r="H181" s="68"/>
      <c r="I181" s="68"/>
      <c r="J181" s="68"/>
      <c r="K181" s="68"/>
      <c r="L181" s="68"/>
      <c r="M181" s="68"/>
      <c r="N181" s="68"/>
      <c r="O181" s="68"/>
      <c r="P181" s="68"/>
      <c r="Q181" s="19"/>
      <c r="R181" s="19"/>
      <c r="S181" s="19"/>
      <c r="T181" s="19"/>
    </row>
    <row r="182" spans="1:20" collapsed="1" x14ac:dyDescent="0.15">
      <c r="A182" s="19"/>
      <c r="B182" s="70" t="s">
        <v>112</v>
      </c>
      <c r="C182" s="19"/>
      <c r="D182" s="19"/>
      <c r="E182" s="19"/>
      <c r="F182" s="19"/>
      <c r="G182" s="19"/>
      <c r="H182" s="19"/>
      <c r="I182" s="19"/>
      <c r="J182" s="19"/>
      <c r="K182" s="19"/>
      <c r="L182" s="19"/>
      <c r="M182" s="19"/>
      <c r="N182" s="19"/>
      <c r="O182" s="19"/>
      <c r="P182" s="19"/>
      <c r="Q182" s="19"/>
      <c r="R182" s="19"/>
      <c r="S182" s="19"/>
      <c r="T182" s="19"/>
    </row>
    <row r="183" spans="1:20" x14ac:dyDescent="0.15">
      <c r="A183" s="19"/>
      <c r="B183" s="19"/>
      <c r="C183" s="19"/>
      <c r="D183" s="19"/>
      <c r="E183" s="19"/>
      <c r="F183" s="19"/>
      <c r="G183" s="19"/>
      <c r="H183" s="19"/>
      <c r="I183" s="19"/>
      <c r="J183" s="19"/>
      <c r="K183" s="19"/>
      <c r="L183" s="19"/>
      <c r="M183" s="19"/>
      <c r="N183" s="19"/>
      <c r="O183" s="19"/>
      <c r="P183" s="19"/>
      <c r="Q183" s="19"/>
      <c r="R183" s="19"/>
      <c r="S183" s="19"/>
      <c r="T183" s="19"/>
    </row>
    <row r="184" spans="1:20" ht="14" x14ac:dyDescent="0.15">
      <c r="A184" s="19"/>
      <c r="B184" s="37" t="s">
        <v>161</v>
      </c>
      <c r="C184" s="19"/>
      <c r="D184" s="19"/>
      <c r="E184" s="19"/>
      <c r="F184" s="19"/>
      <c r="G184" s="19"/>
      <c r="H184" s="19"/>
      <c r="I184" s="19"/>
      <c r="J184" s="19"/>
      <c r="K184" s="19"/>
      <c r="L184" s="19"/>
      <c r="M184" s="19"/>
      <c r="N184" s="19"/>
      <c r="O184" s="19"/>
      <c r="P184" s="19"/>
      <c r="Q184" s="19"/>
      <c r="R184" s="19"/>
      <c r="S184" s="19"/>
      <c r="T184" s="19"/>
    </row>
    <row r="185" spans="1:20" ht="30" hidden="1" outlineLevel="1" x14ac:dyDescent="0.15">
      <c r="A185" s="19"/>
      <c r="B185" s="35" t="s">
        <v>354</v>
      </c>
      <c r="C185" s="35" t="s">
        <v>126</v>
      </c>
      <c r="D185" s="35" t="s">
        <v>85</v>
      </c>
      <c r="E185" s="73" t="s">
        <v>513</v>
      </c>
      <c r="F185" s="73" t="s">
        <v>514</v>
      </c>
      <c r="G185" s="73" t="s">
        <v>515</v>
      </c>
      <c r="H185" s="19"/>
      <c r="I185" s="19"/>
      <c r="J185" s="19"/>
      <c r="K185" s="19"/>
      <c r="L185" s="19"/>
      <c r="M185" s="19"/>
      <c r="N185" s="19"/>
      <c r="O185" s="19"/>
      <c r="P185" s="19"/>
      <c r="Q185" s="19"/>
      <c r="R185" s="19"/>
      <c r="S185" s="19"/>
      <c r="T185" s="19"/>
    </row>
    <row r="186" spans="1:20" ht="15" hidden="1" outlineLevel="1" x14ac:dyDescent="0.15">
      <c r="A186" s="19"/>
      <c r="B186" s="19" t="s">
        <v>355</v>
      </c>
      <c r="C186" s="19" t="s">
        <v>516</v>
      </c>
      <c r="D186" s="19" t="s">
        <v>129</v>
      </c>
      <c r="E186" s="53">
        <v>0.34300000000000003</v>
      </c>
      <c r="F186" s="53">
        <v>1.9E-2</v>
      </c>
      <c r="G186" s="53">
        <v>1.0999999999999999E-2</v>
      </c>
      <c r="H186" s="19"/>
      <c r="I186" s="19"/>
      <c r="J186" s="19"/>
      <c r="K186" s="19"/>
      <c r="L186" s="19"/>
      <c r="M186" s="19"/>
      <c r="N186" s="19"/>
      <c r="O186" s="19"/>
      <c r="P186" s="19"/>
      <c r="Q186" s="19"/>
      <c r="R186" s="19"/>
      <c r="S186" s="19"/>
      <c r="T186" s="19"/>
    </row>
    <row r="187" spans="1:20" ht="15" hidden="1" outlineLevel="1" x14ac:dyDescent="0.15">
      <c r="A187" s="19"/>
      <c r="B187" s="19" t="s">
        <v>356</v>
      </c>
      <c r="C187" s="19" t="s">
        <v>517</v>
      </c>
      <c r="D187" s="19" t="s">
        <v>129</v>
      </c>
      <c r="E187" s="53">
        <v>0.47199999999999998</v>
      </c>
      <c r="F187" s="53">
        <v>1.9E-2</v>
      </c>
      <c r="G187" s="53">
        <v>1.7999999999999999E-2</v>
      </c>
      <c r="H187" s="19"/>
      <c r="I187" s="19"/>
      <c r="J187" s="19"/>
      <c r="K187" s="19"/>
      <c r="L187" s="19"/>
      <c r="M187" s="19"/>
      <c r="N187" s="19"/>
      <c r="O187" s="19"/>
      <c r="P187" s="19"/>
      <c r="Q187" s="19"/>
      <c r="R187" s="19"/>
      <c r="S187" s="19"/>
      <c r="T187" s="19"/>
    </row>
    <row r="188" spans="1:20" hidden="1" outlineLevel="1" x14ac:dyDescent="0.15">
      <c r="A188" s="19"/>
      <c r="B188" s="19" t="s">
        <v>127</v>
      </c>
      <c r="C188" s="19" t="s">
        <v>127</v>
      </c>
      <c r="D188" s="19" t="s">
        <v>129</v>
      </c>
      <c r="E188" s="53">
        <v>0.189</v>
      </c>
      <c r="F188" s="53">
        <v>7.0000000000000007E-2</v>
      </c>
      <c r="G188" s="53">
        <v>7.0000000000000001E-3</v>
      </c>
      <c r="H188" s="19"/>
      <c r="I188" s="19"/>
      <c r="J188" s="19"/>
      <c r="K188" s="19"/>
      <c r="L188" s="19"/>
      <c r="M188" s="19"/>
      <c r="N188" s="19"/>
      <c r="O188" s="19"/>
      <c r="P188" s="19"/>
      <c r="Q188" s="19"/>
      <c r="R188" s="19"/>
      <c r="S188" s="19"/>
      <c r="T188" s="19"/>
    </row>
    <row r="189" spans="1:20" ht="15" hidden="1" outlineLevel="1" x14ac:dyDescent="0.15">
      <c r="A189" s="19"/>
      <c r="B189" s="19" t="s">
        <v>357</v>
      </c>
      <c r="C189" s="19" t="s">
        <v>518</v>
      </c>
      <c r="D189" s="19" t="s">
        <v>130</v>
      </c>
      <c r="E189" s="53">
        <v>0.14000000000000001</v>
      </c>
      <c r="F189" s="53">
        <v>8.6999999999999994E-3</v>
      </c>
      <c r="G189" s="53">
        <v>3.0999999999999999E-3</v>
      </c>
      <c r="H189" s="19"/>
      <c r="I189" s="19"/>
      <c r="J189" s="19"/>
      <c r="K189" s="19"/>
      <c r="L189" s="19"/>
      <c r="M189" s="19"/>
      <c r="N189" s="19"/>
      <c r="O189" s="19"/>
      <c r="P189" s="19"/>
      <c r="Q189" s="19"/>
      <c r="R189" s="19"/>
      <c r="S189" s="19"/>
      <c r="T189" s="19"/>
    </row>
    <row r="190" spans="1:20" ht="15" hidden="1" outlineLevel="1" x14ac:dyDescent="0.15">
      <c r="A190" s="19"/>
      <c r="B190" s="19" t="s">
        <v>358</v>
      </c>
      <c r="C190" s="19" t="s">
        <v>519</v>
      </c>
      <c r="D190" s="19" t="s">
        <v>130</v>
      </c>
      <c r="E190" s="53">
        <v>0.161</v>
      </c>
      <c r="F190" s="53">
        <v>8.0999999999999996E-3</v>
      </c>
      <c r="G190" s="53">
        <v>3.2000000000000002E-3</v>
      </c>
      <c r="H190" s="19"/>
      <c r="I190" s="19"/>
      <c r="J190" s="19"/>
      <c r="K190" s="19"/>
      <c r="L190" s="19"/>
      <c r="M190" s="19"/>
      <c r="N190" s="19"/>
      <c r="O190" s="19"/>
      <c r="P190" s="19"/>
      <c r="Q190" s="19"/>
      <c r="R190" s="19"/>
      <c r="S190" s="19"/>
      <c r="T190" s="19"/>
    </row>
    <row r="191" spans="1:20" ht="15" hidden="1" outlineLevel="1" x14ac:dyDescent="0.15">
      <c r="A191" s="19"/>
      <c r="B191" s="19" t="s">
        <v>359</v>
      </c>
      <c r="C191" s="19" t="s">
        <v>520</v>
      </c>
      <c r="D191" s="19" t="s">
        <v>130</v>
      </c>
      <c r="E191" s="53">
        <v>0.11899999999999999</v>
      </c>
      <c r="F191" s="53">
        <v>2.5000000000000001E-3</v>
      </c>
      <c r="G191" s="53">
        <v>1.6999999999999999E-3</v>
      </c>
      <c r="H191" s="19"/>
      <c r="I191" s="19"/>
      <c r="J191" s="19"/>
      <c r="K191" s="19"/>
      <c r="L191" s="19"/>
      <c r="M191" s="19"/>
      <c r="N191" s="19"/>
      <c r="O191" s="19"/>
      <c r="P191" s="19"/>
      <c r="Q191" s="19"/>
      <c r="R191" s="19"/>
      <c r="S191" s="19"/>
      <c r="T191" s="19"/>
    </row>
    <row r="192" spans="1:20" hidden="1" outlineLevel="1" x14ac:dyDescent="0.15">
      <c r="A192" s="19"/>
      <c r="B192" s="19" t="s">
        <v>128</v>
      </c>
      <c r="C192" s="19" t="s">
        <v>128</v>
      </c>
      <c r="D192" s="19" t="s">
        <v>130</v>
      </c>
      <c r="E192" s="53">
        <v>5.6000000000000001E-2</v>
      </c>
      <c r="F192" s="53">
        <v>1.2999999999999999E-3</v>
      </c>
      <c r="G192" s="53">
        <v>8.9999999999999998E-4</v>
      </c>
      <c r="H192" s="19"/>
      <c r="I192" s="19"/>
      <c r="J192" s="19"/>
      <c r="K192" s="19"/>
      <c r="L192" s="19"/>
      <c r="M192" s="19"/>
      <c r="N192" s="19"/>
      <c r="O192" s="19"/>
      <c r="P192" s="19"/>
      <c r="Q192" s="19"/>
      <c r="R192" s="19"/>
      <c r="S192" s="19"/>
      <c r="T192" s="19"/>
    </row>
    <row r="193" spans="1:20" ht="15" hidden="1" outlineLevel="1" x14ac:dyDescent="0.15">
      <c r="A193" s="19"/>
      <c r="B193" s="19" t="s">
        <v>360</v>
      </c>
      <c r="C193" s="19" t="s">
        <v>521</v>
      </c>
      <c r="D193" s="19" t="s">
        <v>130</v>
      </c>
      <c r="E193" s="53">
        <v>0.22500000000000001</v>
      </c>
      <c r="F193" s="53">
        <v>3.8999999999999998E-3</v>
      </c>
      <c r="G193" s="53">
        <v>7.1999999999999998E-3</v>
      </c>
      <c r="H193" s="19"/>
      <c r="I193" s="19"/>
      <c r="J193" s="19"/>
      <c r="K193" s="19"/>
      <c r="L193" s="19"/>
      <c r="M193" s="19"/>
      <c r="N193" s="19"/>
      <c r="O193" s="19"/>
      <c r="P193" s="19"/>
      <c r="Q193" s="19"/>
      <c r="R193" s="19"/>
      <c r="S193" s="19"/>
      <c r="T193" s="19"/>
    </row>
    <row r="194" spans="1:20" ht="15" hidden="1" outlineLevel="1" x14ac:dyDescent="0.15">
      <c r="A194" s="19"/>
      <c r="B194" s="19" t="s">
        <v>361</v>
      </c>
      <c r="C194" s="19" t="s">
        <v>522</v>
      </c>
      <c r="D194" s="19" t="s">
        <v>130</v>
      </c>
      <c r="E194" s="53">
        <v>0.13600000000000001</v>
      </c>
      <c r="F194" s="53">
        <v>5.9999999999999995E-4</v>
      </c>
      <c r="G194" s="53">
        <v>4.3E-3</v>
      </c>
      <c r="H194" s="19"/>
      <c r="I194" s="19"/>
      <c r="J194" s="19"/>
      <c r="K194" s="19"/>
      <c r="L194" s="19"/>
      <c r="M194" s="19"/>
      <c r="N194" s="19"/>
      <c r="O194" s="19"/>
      <c r="P194" s="19"/>
      <c r="Q194" s="19"/>
      <c r="R194" s="19"/>
      <c r="S194" s="19"/>
      <c r="T194" s="19"/>
    </row>
    <row r="195" spans="1:20" ht="15" hidden="1" outlineLevel="1" x14ac:dyDescent="0.15">
      <c r="A195" s="19"/>
      <c r="B195" s="19" t="s">
        <v>362</v>
      </c>
      <c r="C195" s="19" t="s">
        <v>523</v>
      </c>
      <c r="D195" s="19" t="s">
        <v>130</v>
      </c>
      <c r="E195" s="53">
        <v>0.16600000000000001</v>
      </c>
      <c r="F195" s="53">
        <v>5.9999999999999995E-4</v>
      </c>
      <c r="G195" s="53">
        <v>5.3E-3</v>
      </c>
      <c r="H195" s="19"/>
      <c r="I195" s="19"/>
      <c r="J195" s="19"/>
      <c r="K195" s="19"/>
      <c r="L195" s="19"/>
      <c r="M195" s="19"/>
      <c r="N195" s="19"/>
      <c r="O195" s="19"/>
      <c r="P195" s="19"/>
      <c r="Q195" s="19"/>
      <c r="R195" s="19"/>
      <c r="S195" s="19"/>
      <c r="T195" s="19"/>
    </row>
    <row r="196" spans="1:20" ht="25.5" hidden="1" customHeight="1" outlineLevel="1" x14ac:dyDescent="0.15">
      <c r="A196" s="19"/>
      <c r="B196" s="84" t="s">
        <v>131</v>
      </c>
      <c r="C196" s="84"/>
      <c r="D196" s="84"/>
      <c r="E196" s="84"/>
      <c r="F196" s="84"/>
      <c r="G196" s="19"/>
      <c r="H196" s="19"/>
      <c r="I196" s="19"/>
      <c r="J196" s="19"/>
      <c r="K196" s="19"/>
      <c r="L196" s="19"/>
      <c r="M196" s="19"/>
      <c r="N196" s="19"/>
      <c r="O196" s="19"/>
      <c r="P196" s="19"/>
      <c r="Q196" s="19"/>
      <c r="R196" s="19"/>
      <c r="S196" s="19"/>
      <c r="T196" s="19"/>
    </row>
    <row r="197" spans="1:20" hidden="1" outlineLevel="1" x14ac:dyDescent="0.15">
      <c r="A197" s="19"/>
      <c r="B197" s="84" t="s">
        <v>132</v>
      </c>
      <c r="C197" s="84"/>
      <c r="D197" s="84"/>
      <c r="E197" s="84"/>
      <c r="F197" s="84"/>
      <c r="G197" s="19"/>
      <c r="H197" s="19"/>
      <c r="I197" s="19"/>
      <c r="J197" s="19"/>
      <c r="K197" s="19"/>
      <c r="L197" s="19"/>
      <c r="M197" s="19"/>
      <c r="N197" s="19"/>
      <c r="O197" s="19"/>
      <c r="P197" s="19"/>
      <c r="Q197" s="19"/>
      <c r="R197" s="19"/>
      <c r="S197" s="19"/>
      <c r="T197" s="19"/>
    </row>
    <row r="198" spans="1:20" ht="14" hidden="1" customHeight="1" outlineLevel="1" x14ac:dyDescent="0.15">
      <c r="A198" s="19"/>
      <c r="B198" s="84" t="s">
        <v>137</v>
      </c>
      <c r="C198" s="84"/>
      <c r="D198" s="84"/>
      <c r="E198" s="84"/>
      <c r="F198" s="84"/>
      <c r="G198" s="19"/>
      <c r="H198" s="19"/>
      <c r="I198" s="19"/>
      <c r="J198" s="19"/>
      <c r="K198" s="19"/>
      <c r="L198" s="19"/>
      <c r="M198" s="19"/>
      <c r="N198" s="19"/>
      <c r="O198" s="19"/>
      <c r="P198" s="19"/>
      <c r="Q198" s="19"/>
      <c r="R198" s="19"/>
      <c r="S198" s="19"/>
      <c r="T198" s="19"/>
    </row>
    <row r="199" spans="1:20" hidden="1" outlineLevel="1" x14ac:dyDescent="0.15">
      <c r="A199" s="19"/>
      <c r="B199" s="84" t="s">
        <v>135</v>
      </c>
      <c r="C199" s="84"/>
      <c r="D199" s="84"/>
      <c r="E199" s="84"/>
      <c r="F199" s="84"/>
      <c r="G199" s="19"/>
      <c r="H199" s="19"/>
      <c r="I199" s="19"/>
      <c r="J199" s="19"/>
      <c r="K199" s="19"/>
      <c r="L199" s="19"/>
      <c r="M199" s="19"/>
      <c r="N199" s="19"/>
      <c r="O199" s="19"/>
      <c r="P199" s="19"/>
      <c r="Q199" s="19"/>
      <c r="R199" s="19"/>
      <c r="S199" s="19"/>
      <c r="T199" s="19"/>
    </row>
    <row r="200" spans="1:20" hidden="1" outlineLevel="1" x14ac:dyDescent="0.15">
      <c r="A200" s="19"/>
      <c r="B200" s="84" t="s">
        <v>136</v>
      </c>
      <c r="C200" s="84"/>
      <c r="D200" s="84"/>
      <c r="E200" s="84"/>
      <c r="F200" s="84"/>
      <c r="G200" s="19"/>
      <c r="H200" s="19"/>
      <c r="I200" s="19"/>
      <c r="J200" s="19"/>
      <c r="K200" s="19"/>
      <c r="L200" s="19"/>
      <c r="M200" s="19"/>
      <c r="N200" s="19"/>
      <c r="O200" s="19"/>
      <c r="P200" s="19"/>
      <c r="Q200" s="19"/>
      <c r="R200" s="19"/>
      <c r="S200" s="19"/>
      <c r="T200" s="19"/>
    </row>
    <row r="201" spans="1:20" hidden="1" outlineLevel="1" x14ac:dyDescent="0.15">
      <c r="A201" s="19"/>
      <c r="B201" s="84" t="s">
        <v>138</v>
      </c>
      <c r="C201" s="84"/>
      <c r="D201" s="84"/>
      <c r="E201" s="84"/>
      <c r="F201" s="84"/>
      <c r="G201" s="19"/>
      <c r="H201" s="19"/>
      <c r="I201" s="19"/>
      <c r="J201" s="19"/>
      <c r="K201" s="19"/>
      <c r="L201" s="19"/>
      <c r="M201" s="19"/>
      <c r="N201" s="19"/>
      <c r="O201" s="19"/>
      <c r="P201" s="19"/>
      <c r="Q201" s="19"/>
      <c r="R201" s="19"/>
      <c r="S201" s="19"/>
      <c r="T201" s="19"/>
    </row>
    <row r="202" spans="1:20" ht="14" hidden="1" customHeight="1" outlineLevel="1" x14ac:dyDescent="0.15">
      <c r="A202" s="19"/>
      <c r="B202" s="84" t="s">
        <v>134</v>
      </c>
      <c r="C202" s="84"/>
      <c r="D202" s="84"/>
      <c r="E202" s="84"/>
      <c r="F202" s="84"/>
      <c r="G202" s="19"/>
      <c r="H202" s="19"/>
      <c r="I202" s="19"/>
      <c r="J202" s="19"/>
      <c r="K202" s="19"/>
      <c r="L202" s="19"/>
      <c r="M202" s="19"/>
      <c r="N202" s="19"/>
      <c r="O202" s="19"/>
      <c r="P202" s="19"/>
      <c r="Q202" s="19"/>
      <c r="R202" s="19"/>
      <c r="S202" s="19"/>
      <c r="T202" s="19"/>
    </row>
    <row r="203" spans="1:20" hidden="1" outlineLevel="1" x14ac:dyDescent="0.15">
      <c r="A203" s="19"/>
      <c r="B203" s="84" t="s">
        <v>139</v>
      </c>
      <c r="C203" s="84"/>
      <c r="D203" s="84"/>
      <c r="E203" s="84"/>
      <c r="F203" s="84"/>
      <c r="G203" s="19"/>
      <c r="H203" s="19"/>
      <c r="I203" s="19"/>
      <c r="J203" s="19"/>
      <c r="K203" s="19"/>
      <c r="L203" s="19"/>
      <c r="M203" s="19"/>
      <c r="N203" s="19"/>
      <c r="O203" s="19"/>
      <c r="P203" s="19"/>
      <c r="Q203" s="19"/>
      <c r="R203" s="19"/>
      <c r="S203" s="19"/>
      <c r="T203" s="19"/>
    </row>
    <row r="204" spans="1:20" s="89" customFormat="1" ht="14" hidden="1" customHeight="1" outlineLevel="1" x14ac:dyDescent="0.15">
      <c r="A204" s="84"/>
      <c r="B204" s="76" t="s">
        <v>203</v>
      </c>
      <c r="C204" s="76"/>
      <c r="D204" s="76"/>
      <c r="E204" s="76"/>
      <c r="F204" s="76"/>
      <c r="G204" s="39"/>
      <c r="H204" s="39"/>
      <c r="I204" s="39"/>
      <c r="J204" s="39"/>
      <c r="K204" s="39"/>
      <c r="L204" s="39"/>
      <c r="M204" s="39"/>
      <c r="N204" s="39"/>
      <c r="O204" s="39"/>
      <c r="P204" s="39"/>
      <c r="Q204" s="84"/>
      <c r="R204" s="84"/>
      <c r="S204" s="84"/>
      <c r="T204" s="84"/>
    </row>
    <row r="205" spans="1:20" s="89" customFormat="1" ht="14" hidden="1" outlineLevel="1" x14ac:dyDescent="0.15">
      <c r="A205" s="84"/>
      <c r="B205" s="79" t="s">
        <v>202</v>
      </c>
      <c r="C205" s="69"/>
      <c r="D205" s="69"/>
      <c r="E205" s="69"/>
      <c r="F205" s="69"/>
      <c r="G205" s="39"/>
      <c r="H205" s="39"/>
      <c r="I205" s="39"/>
      <c r="J205" s="39"/>
      <c r="K205" s="39"/>
      <c r="L205" s="39"/>
      <c r="M205" s="39"/>
      <c r="N205" s="39"/>
      <c r="O205" s="39"/>
      <c r="P205" s="39"/>
      <c r="Q205" s="84"/>
      <c r="R205" s="84"/>
      <c r="S205" s="84"/>
      <c r="T205" s="84"/>
    </row>
    <row r="206" spans="1:20" collapsed="1" x14ac:dyDescent="0.15">
      <c r="A206" s="19"/>
      <c r="B206" s="70" t="s">
        <v>112</v>
      </c>
      <c r="C206" s="19"/>
      <c r="D206" s="19"/>
      <c r="E206" s="19"/>
      <c r="F206" s="19"/>
      <c r="G206" s="19"/>
      <c r="H206" s="19"/>
      <c r="I206" s="19"/>
      <c r="J206" s="19"/>
      <c r="K206" s="19"/>
      <c r="L206" s="19"/>
      <c r="M206" s="19"/>
      <c r="N206" s="19"/>
      <c r="O206" s="19"/>
      <c r="P206" s="19"/>
      <c r="Q206" s="19"/>
      <c r="R206" s="19"/>
      <c r="S206" s="19"/>
      <c r="T206" s="19"/>
    </row>
    <row r="207" spans="1:20" x14ac:dyDescent="0.15">
      <c r="A207" s="19"/>
      <c r="B207" s="19" t="s">
        <v>133</v>
      </c>
      <c r="C207" s="19"/>
      <c r="D207" s="19"/>
      <c r="E207" s="19"/>
      <c r="F207" s="19"/>
      <c r="G207" s="19"/>
      <c r="H207" s="19"/>
      <c r="I207" s="19"/>
      <c r="J207" s="19"/>
      <c r="K207" s="19"/>
      <c r="L207" s="19"/>
      <c r="M207" s="19"/>
      <c r="N207" s="19"/>
      <c r="O207" s="19"/>
      <c r="P207" s="19"/>
      <c r="Q207" s="19"/>
      <c r="R207" s="19"/>
      <c r="S207" s="19"/>
      <c r="T207" s="19"/>
    </row>
    <row r="208" spans="1:20" ht="14" x14ac:dyDescent="0.15">
      <c r="A208" s="19"/>
      <c r="B208" s="37" t="s">
        <v>367</v>
      </c>
      <c r="C208" s="19"/>
      <c r="D208" s="19"/>
      <c r="E208" s="19"/>
      <c r="F208" s="19"/>
      <c r="G208" s="19"/>
      <c r="H208" s="19"/>
      <c r="I208" s="19"/>
      <c r="J208" s="19"/>
      <c r="K208" s="19"/>
      <c r="L208" s="19"/>
      <c r="M208" s="19"/>
      <c r="N208" s="19"/>
      <c r="O208" s="19"/>
      <c r="P208" s="19"/>
      <c r="Q208" s="19"/>
      <c r="R208" s="19"/>
      <c r="S208" s="19"/>
      <c r="T208" s="19"/>
    </row>
    <row r="209" spans="1:20" hidden="1" outlineLevel="1" x14ac:dyDescent="0.15">
      <c r="A209" s="19"/>
      <c r="B209" s="16" t="s">
        <v>368</v>
      </c>
      <c r="C209" s="19"/>
      <c r="D209" s="19"/>
      <c r="E209" s="19"/>
      <c r="F209" s="19"/>
      <c r="G209" s="19"/>
      <c r="H209" s="19"/>
      <c r="I209" s="19"/>
      <c r="J209" s="19"/>
      <c r="K209" s="19"/>
      <c r="L209" s="19"/>
      <c r="M209" s="19"/>
      <c r="N209" s="19"/>
      <c r="O209" s="19"/>
      <c r="P209" s="19"/>
      <c r="Q209" s="19"/>
      <c r="R209" s="19"/>
      <c r="S209" s="19"/>
      <c r="T209" s="19"/>
    </row>
    <row r="210" spans="1:20" ht="47" hidden="1" customHeight="1" outlineLevel="1" x14ac:dyDescent="0.15">
      <c r="A210" s="19"/>
      <c r="B210" s="35" t="s">
        <v>126</v>
      </c>
      <c r="C210" s="35" t="s">
        <v>85</v>
      </c>
      <c r="D210" s="73" t="s">
        <v>524</v>
      </c>
      <c r="E210" s="73" t="s">
        <v>525</v>
      </c>
      <c r="F210" s="73" t="s">
        <v>526</v>
      </c>
      <c r="G210" s="19"/>
      <c r="H210" s="19"/>
      <c r="I210" s="19"/>
      <c r="J210" s="19"/>
      <c r="K210" s="19"/>
      <c r="L210" s="19"/>
      <c r="M210" s="19"/>
      <c r="N210" s="19"/>
      <c r="O210" s="19"/>
      <c r="P210" s="19"/>
      <c r="Q210" s="19"/>
      <c r="R210" s="19"/>
      <c r="S210" s="19"/>
      <c r="T210" s="19"/>
    </row>
    <row r="211" spans="1:20" ht="12.75" hidden="1" customHeight="1" outlineLevel="1" x14ac:dyDescent="0.15">
      <c r="A211" s="19"/>
      <c r="B211" s="19" t="s">
        <v>140</v>
      </c>
      <c r="C211" s="19" t="s">
        <v>129</v>
      </c>
      <c r="D211" s="53">
        <v>1.4670000000000001</v>
      </c>
      <c r="E211" s="53">
        <v>1.4E-2</v>
      </c>
      <c r="F211" s="53">
        <v>0.01</v>
      </c>
      <c r="G211" s="19"/>
      <c r="H211" s="19"/>
      <c r="I211" s="19"/>
      <c r="J211" s="19"/>
      <c r="K211" s="19"/>
      <c r="L211" s="19"/>
      <c r="M211" s="19"/>
      <c r="N211" s="19"/>
      <c r="O211" s="19"/>
      <c r="P211" s="19"/>
      <c r="Q211" s="19"/>
      <c r="R211" s="19"/>
      <c r="S211" s="19"/>
      <c r="T211" s="19"/>
    </row>
    <row r="212" spans="1:20" ht="15" hidden="1" customHeight="1" outlineLevel="1" x14ac:dyDescent="0.15">
      <c r="A212" s="19"/>
      <c r="B212" s="19" t="s">
        <v>146</v>
      </c>
      <c r="C212" s="19" t="s">
        <v>129</v>
      </c>
      <c r="D212" s="53">
        <v>0.34300000000000003</v>
      </c>
      <c r="E212" s="53">
        <v>1.9E-2</v>
      </c>
      <c r="F212" s="53">
        <v>1.0999999999999999E-2</v>
      </c>
      <c r="G212" s="19"/>
      <c r="H212" s="19"/>
      <c r="I212" s="19"/>
      <c r="J212" s="19"/>
      <c r="K212" s="19"/>
      <c r="L212" s="19"/>
      <c r="M212" s="19"/>
      <c r="N212" s="19"/>
      <c r="O212" s="19"/>
      <c r="P212" s="19"/>
      <c r="Q212" s="19"/>
      <c r="R212" s="19"/>
      <c r="S212" s="19"/>
      <c r="T212" s="19"/>
    </row>
    <row r="213" spans="1:20" hidden="1" outlineLevel="1" x14ac:dyDescent="0.15">
      <c r="A213" s="19"/>
      <c r="B213" s="19" t="s">
        <v>147</v>
      </c>
      <c r="C213" s="19" t="s">
        <v>129</v>
      </c>
      <c r="D213" s="53">
        <v>0.47199999999999998</v>
      </c>
      <c r="E213" s="53">
        <v>1.9E-2</v>
      </c>
      <c r="F213" s="53">
        <v>1.7999999999999999E-2</v>
      </c>
      <c r="G213" s="19"/>
      <c r="H213" s="19"/>
      <c r="I213" s="19"/>
      <c r="J213" s="19"/>
      <c r="K213" s="19"/>
      <c r="L213" s="19"/>
      <c r="M213" s="19"/>
      <c r="N213" s="19"/>
      <c r="O213" s="19"/>
      <c r="P213" s="19"/>
      <c r="Q213" s="19"/>
      <c r="R213" s="19"/>
      <c r="S213" s="19"/>
      <c r="T213" s="19"/>
    </row>
    <row r="214" spans="1:20" ht="12.75" hidden="1" customHeight="1" outlineLevel="1" x14ac:dyDescent="0.15">
      <c r="A214" s="19"/>
      <c r="B214" s="19" t="s">
        <v>140</v>
      </c>
      <c r="C214" s="19" t="s">
        <v>143</v>
      </c>
      <c r="D214" s="53">
        <f>0.202*$C$25</f>
        <v>0.18325137000000002</v>
      </c>
      <c r="E214" s="53">
        <f>0.002*$C$25</f>
        <v>1.81437E-3</v>
      </c>
      <c r="F214" s="53">
        <f>0.0015*$C$25</f>
        <v>1.3607775E-3</v>
      </c>
      <c r="G214" s="35"/>
      <c r="H214" s="19"/>
      <c r="I214" s="19"/>
      <c r="J214" s="19"/>
      <c r="K214" s="19"/>
      <c r="L214" s="19"/>
      <c r="M214" s="19"/>
      <c r="N214" s="19"/>
      <c r="O214" s="19"/>
      <c r="P214" s="19"/>
      <c r="Q214" s="19"/>
      <c r="R214" s="19"/>
      <c r="S214" s="19"/>
      <c r="T214" s="19"/>
    </row>
    <row r="215" spans="1:20" ht="12.75" hidden="1" customHeight="1" outlineLevel="1" x14ac:dyDescent="0.15">
      <c r="A215" s="19"/>
      <c r="B215" s="19" t="s">
        <v>142</v>
      </c>
      <c r="C215" s="19" t="s">
        <v>143</v>
      </c>
      <c r="D215" s="53">
        <f>0.023*$C$25</f>
        <v>2.0865254999999999E-2</v>
      </c>
      <c r="E215" s="53">
        <f>0.0018*$C$25</f>
        <v>1.632933E-3</v>
      </c>
      <c r="F215" s="53">
        <f>0.0006*$C$25</f>
        <v>5.4431100000000001E-4</v>
      </c>
      <c r="G215" s="35"/>
      <c r="H215" s="19"/>
      <c r="I215" s="19"/>
      <c r="J215" s="19"/>
      <c r="K215" s="19"/>
      <c r="L215" s="19"/>
      <c r="M215" s="19"/>
      <c r="N215" s="19"/>
      <c r="O215" s="19"/>
      <c r="P215" s="19"/>
      <c r="Q215" s="19"/>
      <c r="R215" s="19"/>
      <c r="S215" s="19"/>
      <c r="T215" s="19"/>
    </row>
    <row r="216" spans="1:20" ht="12.75" hidden="1" customHeight="1" outlineLevel="1" x14ac:dyDescent="0.15">
      <c r="A216" s="19"/>
      <c r="B216" s="19" t="s">
        <v>443</v>
      </c>
      <c r="C216" s="19" t="s">
        <v>143</v>
      </c>
      <c r="D216" s="53">
        <f>0.059*$C$25</f>
        <v>5.3523914999999998E-2</v>
      </c>
      <c r="E216" s="53">
        <f>0.0005*$C$25</f>
        <v>4.5359250000000001E-4</v>
      </c>
      <c r="F216" s="53">
        <f>0.004*$C$25</f>
        <v>3.6287400000000001E-3</v>
      </c>
      <c r="G216" s="35"/>
      <c r="H216" s="19"/>
      <c r="I216" s="19"/>
      <c r="J216" s="19"/>
      <c r="K216" s="19"/>
      <c r="L216" s="19"/>
      <c r="M216" s="19"/>
      <c r="N216" s="19"/>
      <c r="O216" s="19"/>
      <c r="P216" s="19"/>
      <c r="Q216" s="19"/>
      <c r="R216" s="19"/>
      <c r="S216" s="19"/>
      <c r="T216" s="19"/>
    </row>
    <row r="217" spans="1:20" ht="12.75" hidden="1" customHeight="1" outlineLevel="1" x14ac:dyDescent="0.15">
      <c r="A217" s="19"/>
      <c r="B217" s="19" t="s">
        <v>141</v>
      </c>
      <c r="C217" s="19" t="s">
        <v>143</v>
      </c>
      <c r="D217" s="53">
        <f>1.308*$C$25</f>
        <v>1.1865979800000002</v>
      </c>
      <c r="E217" s="53">
        <f>0*$C$25</f>
        <v>0</v>
      </c>
      <c r="F217" s="53">
        <f>0.0402*$C$25</f>
        <v>3.6468836999999997E-2</v>
      </c>
      <c r="G217" s="35"/>
      <c r="H217" s="19"/>
      <c r="I217" s="19"/>
      <c r="J217" s="19"/>
      <c r="K217" s="19"/>
      <c r="L217" s="19"/>
      <c r="M217" s="19"/>
      <c r="N217" s="19"/>
      <c r="O217" s="19"/>
      <c r="P217" s="19"/>
      <c r="Q217" s="19"/>
      <c r="R217" s="19"/>
      <c r="S217" s="19"/>
      <c r="T217" s="19"/>
    </row>
    <row r="218" spans="1:20" ht="12.75" hidden="1" customHeight="1" outlineLevel="1" x14ac:dyDescent="0.15">
      <c r="A218" s="19"/>
      <c r="B218" s="19" t="s">
        <v>341</v>
      </c>
      <c r="C218" s="19" t="s">
        <v>143</v>
      </c>
      <c r="D218" s="90">
        <f>AVERAGE(D214:D217)</f>
        <v>0.36105963000000008</v>
      </c>
      <c r="E218" s="90">
        <f>AVERAGE(E214:E217)</f>
        <v>9.7522387500000008E-4</v>
      </c>
      <c r="F218" s="90">
        <f>AVERAGE(F214:F217)</f>
        <v>1.0500666374999999E-2</v>
      </c>
      <c r="G218" s="35"/>
      <c r="H218" s="19"/>
      <c r="I218" s="19"/>
      <c r="J218" s="19"/>
      <c r="K218" s="19"/>
      <c r="L218" s="19"/>
      <c r="M218" s="19"/>
      <c r="N218" s="19"/>
      <c r="O218" s="19"/>
      <c r="P218" s="19"/>
      <c r="Q218" s="19"/>
      <c r="R218" s="19"/>
      <c r="S218" s="19"/>
      <c r="T218" s="19"/>
    </row>
    <row r="219" spans="1:20" hidden="1" outlineLevel="1" x14ac:dyDescent="0.15">
      <c r="A219" s="19"/>
      <c r="B219" s="84" t="s">
        <v>148</v>
      </c>
      <c r="C219" s="84"/>
      <c r="D219" s="84"/>
      <c r="E219" s="84"/>
      <c r="F219" s="84"/>
      <c r="G219" s="19"/>
      <c r="H219" s="19"/>
      <c r="I219" s="19"/>
      <c r="J219" s="19"/>
      <c r="K219" s="19"/>
      <c r="L219" s="19"/>
      <c r="M219" s="19"/>
      <c r="N219" s="19"/>
      <c r="O219" s="19"/>
      <c r="P219" s="19"/>
      <c r="Q219" s="19"/>
      <c r="R219" s="19"/>
      <c r="S219" s="19"/>
      <c r="T219" s="19"/>
    </row>
    <row r="220" spans="1:20" hidden="1" outlineLevel="1" x14ac:dyDescent="0.15">
      <c r="A220" s="19"/>
      <c r="B220" s="84" t="s">
        <v>149</v>
      </c>
      <c r="C220" s="84"/>
      <c r="D220" s="84"/>
      <c r="E220" s="84"/>
      <c r="F220" s="84"/>
      <c r="G220" s="19"/>
      <c r="H220" s="19"/>
      <c r="I220" s="19"/>
      <c r="J220" s="19"/>
      <c r="K220" s="19"/>
      <c r="L220" s="19"/>
      <c r="M220" s="19"/>
      <c r="N220" s="19"/>
      <c r="O220" s="19"/>
      <c r="P220" s="19"/>
      <c r="Q220" s="19"/>
      <c r="R220" s="19"/>
      <c r="S220" s="19"/>
      <c r="T220" s="19"/>
    </row>
    <row r="221" spans="1:20" hidden="1" outlineLevel="1" x14ac:dyDescent="0.15">
      <c r="A221" s="19"/>
      <c r="B221" s="84" t="s">
        <v>444</v>
      </c>
      <c r="C221" s="84"/>
      <c r="D221" s="84"/>
      <c r="E221" s="84"/>
      <c r="F221" s="84"/>
      <c r="G221" s="19"/>
      <c r="H221" s="19"/>
      <c r="I221" s="19"/>
      <c r="J221" s="19"/>
      <c r="K221" s="19"/>
      <c r="L221" s="19"/>
      <c r="M221" s="19"/>
      <c r="N221" s="19"/>
      <c r="O221" s="19"/>
      <c r="P221" s="19"/>
      <c r="Q221" s="19"/>
      <c r="R221" s="19"/>
      <c r="S221" s="19"/>
      <c r="T221" s="19"/>
    </row>
    <row r="222" spans="1:20" hidden="1" outlineLevel="1" x14ac:dyDescent="0.15">
      <c r="A222" s="19"/>
      <c r="B222" s="76" t="s">
        <v>209</v>
      </c>
      <c r="C222" s="67"/>
      <c r="D222" s="67"/>
      <c r="E222" s="67"/>
      <c r="F222" s="67"/>
      <c r="G222" s="67"/>
      <c r="H222" s="67"/>
      <c r="I222" s="67"/>
      <c r="J222" s="67"/>
      <c r="K222" s="67"/>
      <c r="L222" s="67"/>
      <c r="M222" s="67"/>
      <c r="N222" s="67"/>
      <c r="O222" s="67"/>
      <c r="P222" s="67"/>
      <c r="Q222" s="19"/>
      <c r="R222" s="19"/>
      <c r="S222" s="19"/>
      <c r="T222" s="19"/>
    </row>
    <row r="223" spans="1:20" ht="14" hidden="1" outlineLevel="1" x14ac:dyDescent="0.15">
      <c r="A223" s="19"/>
      <c r="B223" s="91" t="s">
        <v>202</v>
      </c>
      <c r="C223" s="92"/>
      <c r="D223" s="92"/>
      <c r="E223" s="92"/>
      <c r="F223" s="67"/>
      <c r="G223" s="67"/>
      <c r="H223" s="67"/>
      <c r="I223" s="67"/>
      <c r="J223" s="67"/>
      <c r="K223" s="67"/>
      <c r="L223" s="67"/>
      <c r="M223" s="67"/>
      <c r="N223" s="67"/>
      <c r="O223" s="67"/>
      <c r="P223" s="67"/>
      <c r="Q223" s="19"/>
      <c r="R223" s="19"/>
      <c r="S223" s="19"/>
      <c r="T223" s="19"/>
    </row>
    <row r="224" spans="1:20" collapsed="1" x14ac:dyDescent="0.15">
      <c r="A224" s="19"/>
      <c r="B224" s="70" t="s">
        <v>112</v>
      </c>
      <c r="C224" s="19"/>
      <c r="D224" s="19"/>
      <c r="E224" s="19"/>
      <c r="F224" s="19"/>
      <c r="G224" s="19"/>
      <c r="H224" s="19"/>
      <c r="I224" s="19"/>
      <c r="J224" s="19"/>
      <c r="K224" s="19"/>
      <c r="L224" s="19"/>
      <c r="M224" s="19"/>
      <c r="N224" s="19"/>
      <c r="O224" s="19"/>
      <c r="P224" s="19"/>
      <c r="Q224" s="19"/>
      <c r="R224" s="19"/>
      <c r="S224" s="19"/>
      <c r="T224" s="19"/>
    </row>
    <row r="225" spans="1:20" x14ac:dyDescent="0.15">
      <c r="A225" s="19"/>
      <c r="B225" s="19"/>
      <c r="C225" s="19"/>
      <c r="D225" s="19"/>
      <c r="E225" s="19"/>
      <c r="F225" s="19"/>
      <c r="G225" s="19"/>
      <c r="H225" s="19"/>
      <c r="I225" s="19"/>
      <c r="J225" s="19"/>
      <c r="K225" s="19"/>
      <c r="L225" s="19"/>
      <c r="M225" s="19"/>
      <c r="N225" s="19"/>
      <c r="O225" s="19"/>
      <c r="P225" s="19"/>
      <c r="Q225" s="19"/>
      <c r="R225" s="19"/>
      <c r="S225" s="19"/>
      <c r="T225" s="19"/>
    </row>
    <row r="226" spans="1:20" ht="14" x14ac:dyDescent="0.15">
      <c r="A226" s="19"/>
      <c r="B226" s="37" t="s">
        <v>159</v>
      </c>
      <c r="C226" s="19"/>
      <c r="D226" s="19"/>
      <c r="E226" s="19"/>
      <c r="F226" s="19"/>
      <c r="G226" s="19"/>
      <c r="H226" s="19"/>
      <c r="I226" s="19"/>
      <c r="J226" s="19"/>
      <c r="K226" s="19"/>
      <c r="L226" s="19"/>
      <c r="M226" s="19"/>
      <c r="N226" s="19"/>
      <c r="O226" s="19"/>
      <c r="P226" s="19"/>
      <c r="Q226" s="19"/>
      <c r="R226" s="19"/>
      <c r="S226" s="19"/>
      <c r="T226" s="19"/>
    </row>
    <row r="227" spans="1:20" ht="27" hidden="1" customHeight="1" outlineLevel="1" x14ac:dyDescent="0.15">
      <c r="A227" s="19"/>
      <c r="B227" s="35" t="s">
        <v>748</v>
      </c>
      <c r="C227" s="73" t="s">
        <v>527</v>
      </c>
      <c r="D227" s="73" t="s">
        <v>125</v>
      </c>
      <c r="E227" s="35" t="s">
        <v>749</v>
      </c>
      <c r="F227" s="73"/>
      <c r="G227" s="19"/>
      <c r="H227" s="19"/>
      <c r="I227" s="19"/>
      <c r="J227" s="19"/>
      <c r="K227" s="19"/>
      <c r="L227" s="19"/>
      <c r="M227" s="19"/>
      <c r="N227" s="19"/>
      <c r="O227" s="19"/>
      <c r="P227" s="19"/>
      <c r="Q227" s="19"/>
      <c r="R227" s="19"/>
      <c r="S227" s="19"/>
      <c r="T227" s="19"/>
    </row>
    <row r="228" spans="1:20" hidden="1" outlineLevel="1" x14ac:dyDescent="0.15">
      <c r="A228" s="19"/>
      <c r="B228" s="19" t="s">
        <v>158</v>
      </c>
      <c r="C228" s="93">
        <v>0.35</v>
      </c>
      <c r="D228" s="19" t="s">
        <v>328</v>
      </c>
      <c r="E228" s="366">
        <v>84.222222222222229</v>
      </c>
      <c r="F228" s="19" t="s">
        <v>747</v>
      </c>
      <c r="G228" s="19"/>
      <c r="H228" s="19"/>
      <c r="I228" s="19"/>
      <c r="J228" s="19"/>
      <c r="K228" s="19"/>
      <c r="L228" s="19"/>
      <c r="M228" s="19"/>
      <c r="N228" s="19"/>
      <c r="O228" s="19"/>
      <c r="P228" s="19"/>
      <c r="Q228" s="19"/>
      <c r="R228" s="19"/>
      <c r="S228" s="19"/>
      <c r="T228" s="19"/>
    </row>
    <row r="229" spans="1:20" hidden="1" outlineLevel="1" x14ac:dyDescent="0.15">
      <c r="A229" s="19"/>
      <c r="B229" s="19" t="s">
        <v>155</v>
      </c>
      <c r="C229" s="93">
        <v>-3.12</v>
      </c>
      <c r="D229" s="19"/>
      <c r="E229" s="19"/>
      <c r="F229" s="19"/>
      <c r="G229" s="19"/>
      <c r="H229" s="19"/>
      <c r="I229" s="19"/>
      <c r="J229" s="19"/>
      <c r="K229" s="19"/>
      <c r="L229" s="19"/>
      <c r="M229" s="19"/>
      <c r="N229" s="19"/>
      <c r="O229" s="19"/>
      <c r="P229" s="19"/>
      <c r="Q229" s="19"/>
      <c r="R229" s="19"/>
      <c r="S229" s="19"/>
      <c r="T229" s="19"/>
    </row>
    <row r="230" spans="1:20" hidden="1" outlineLevel="1" x14ac:dyDescent="0.15">
      <c r="A230" s="19"/>
      <c r="B230" s="19" t="s">
        <v>156</v>
      </c>
      <c r="C230" s="93">
        <v>-0.28000000000000003</v>
      </c>
      <c r="D230" s="19"/>
      <c r="E230" s="19"/>
      <c r="F230" s="19"/>
      <c r="G230" s="19"/>
      <c r="H230" s="19"/>
      <c r="I230" s="19"/>
      <c r="J230" s="19"/>
      <c r="K230" s="19"/>
      <c r="L230" s="19"/>
      <c r="M230" s="19"/>
      <c r="N230" s="19"/>
      <c r="O230" s="19"/>
      <c r="P230" s="19"/>
      <c r="Q230" s="19"/>
      <c r="R230" s="19"/>
      <c r="S230" s="19"/>
      <c r="T230" s="19"/>
    </row>
    <row r="231" spans="1:20" hidden="1" outlineLevel="1" x14ac:dyDescent="0.15">
      <c r="A231" s="19"/>
      <c r="B231" s="19" t="s">
        <v>163</v>
      </c>
      <c r="C231" s="93">
        <v>-3.59</v>
      </c>
      <c r="D231" s="19"/>
      <c r="E231" s="19"/>
      <c r="F231" s="19"/>
      <c r="G231" s="19"/>
      <c r="H231" s="19"/>
      <c r="I231" s="19"/>
      <c r="J231" s="19"/>
      <c r="K231" s="19"/>
      <c r="L231" s="19"/>
      <c r="M231" s="19"/>
      <c r="N231" s="19"/>
      <c r="O231" s="19"/>
      <c r="P231" s="19"/>
      <c r="Q231" s="19"/>
      <c r="R231" s="19"/>
      <c r="S231" s="19"/>
      <c r="T231" s="19"/>
    </row>
    <row r="232" spans="1:20" hidden="1" outlineLevel="1" x14ac:dyDescent="0.15">
      <c r="A232" s="19"/>
      <c r="B232" s="19" t="s">
        <v>157</v>
      </c>
      <c r="C232" s="93">
        <v>-2.82</v>
      </c>
      <c r="D232" s="19"/>
      <c r="E232" s="19"/>
      <c r="F232" s="19"/>
      <c r="G232" s="19"/>
      <c r="H232" s="19"/>
      <c r="I232" s="19"/>
      <c r="J232" s="19"/>
      <c r="K232" s="19"/>
      <c r="L232" s="19"/>
      <c r="M232" s="19"/>
      <c r="N232" s="19"/>
      <c r="O232" s="19"/>
      <c r="P232" s="19"/>
      <c r="Q232" s="19"/>
      <c r="R232" s="19"/>
      <c r="S232" s="19"/>
      <c r="T232" s="19"/>
    </row>
    <row r="233" spans="1:20" hidden="1" outlineLevel="1" x14ac:dyDescent="0.15">
      <c r="A233" s="19"/>
      <c r="B233" s="19" t="s">
        <v>640</v>
      </c>
      <c r="C233" s="93">
        <v>-0.16</v>
      </c>
      <c r="D233" s="19" t="s">
        <v>329</v>
      </c>
      <c r="E233" s="19"/>
      <c r="F233" s="19"/>
      <c r="G233" s="19"/>
      <c r="H233" s="19"/>
      <c r="I233" s="19"/>
      <c r="J233" s="19"/>
      <c r="K233" s="19"/>
      <c r="L233" s="19"/>
      <c r="M233" s="19"/>
      <c r="N233" s="19"/>
      <c r="O233" s="19"/>
      <c r="P233" s="19"/>
      <c r="Q233" s="19"/>
      <c r="R233" s="19"/>
      <c r="S233" s="19"/>
      <c r="T233" s="19"/>
    </row>
    <row r="234" spans="1:20" hidden="1" outlineLevel="1" x14ac:dyDescent="0.15">
      <c r="A234" s="19"/>
      <c r="B234" s="76" t="s">
        <v>744</v>
      </c>
      <c r="C234" s="68"/>
      <c r="D234" s="68"/>
      <c r="E234" s="68"/>
      <c r="F234" s="68"/>
      <c r="G234" s="68"/>
      <c r="H234" s="68"/>
      <c r="I234" s="68"/>
      <c r="J234" s="68"/>
      <c r="K234" s="68"/>
      <c r="L234" s="68"/>
      <c r="M234" s="68"/>
      <c r="N234" s="68"/>
      <c r="O234" s="68"/>
      <c r="P234" s="68"/>
      <c r="Q234" s="19"/>
      <c r="R234" s="19"/>
      <c r="S234" s="19"/>
      <c r="T234" s="19"/>
    </row>
    <row r="235" spans="1:20" ht="14" hidden="1" outlineLevel="1" x14ac:dyDescent="0.15">
      <c r="A235" s="19"/>
      <c r="B235" s="79" t="s">
        <v>330</v>
      </c>
      <c r="C235" s="68"/>
      <c r="D235" s="68"/>
      <c r="E235" s="68"/>
      <c r="F235" s="68"/>
      <c r="G235" s="68"/>
      <c r="H235" s="68"/>
      <c r="I235" s="68"/>
      <c r="J235" s="68"/>
      <c r="K235" s="68"/>
      <c r="L235" s="68"/>
      <c r="M235" s="68"/>
      <c r="N235" s="68"/>
      <c r="O235" s="68"/>
      <c r="P235" s="68"/>
      <c r="Q235" s="19"/>
      <c r="R235" s="19"/>
      <c r="S235" s="19"/>
      <c r="T235" s="19"/>
    </row>
    <row r="236" spans="1:20" hidden="1" outlineLevel="1" x14ac:dyDescent="0.15">
      <c r="A236" s="19"/>
      <c r="B236" s="76" t="s">
        <v>746</v>
      </c>
      <c r="C236" s="68"/>
      <c r="D236" s="68"/>
      <c r="E236" s="68"/>
      <c r="F236" s="68"/>
      <c r="G236" s="68"/>
      <c r="H236" s="68"/>
      <c r="I236" s="68"/>
      <c r="J236" s="68"/>
      <c r="K236" s="68"/>
      <c r="L236" s="68"/>
      <c r="M236" s="68"/>
      <c r="N236" s="68"/>
      <c r="O236" s="68"/>
      <c r="P236" s="68"/>
      <c r="Q236" s="19"/>
      <c r="R236" s="19"/>
      <c r="S236" s="19"/>
      <c r="T236" s="19"/>
    </row>
    <row r="237" spans="1:20" ht="14" hidden="1" outlineLevel="1" x14ac:dyDescent="0.15">
      <c r="A237" s="19"/>
      <c r="B237" s="79" t="s">
        <v>745</v>
      </c>
      <c r="C237" s="68"/>
      <c r="D237" s="68"/>
      <c r="E237" s="68"/>
      <c r="F237" s="68"/>
      <c r="G237" s="68"/>
      <c r="H237" s="68"/>
      <c r="I237" s="68"/>
      <c r="J237" s="68"/>
      <c r="K237" s="68"/>
      <c r="L237" s="68"/>
      <c r="M237" s="68"/>
      <c r="N237" s="68"/>
      <c r="O237" s="68"/>
      <c r="P237" s="68"/>
      <c r="Q237" s="19"/>
      <c r="R237" s="19"/>
      <c r="S237" s="19"/>
      <c r="T237" s="19"/>
    </row>
    <row r="238" spans="1:20" collapsed="1" x14ac:dyDescent="0.15">
      <c r="A238" s="19"/>
      <c r="B238" s="70" t="s">
        <v>112</v>
      </c>
      <c r="C238" s="19"/>
      <c r="D238" s="19"/>
      <c r="E238" s="19"/>
      <c r="F238" s="19"/>
      <c r="G238" s="19"/>
      <c r="H238" s="19"/>
      <c r="I238" s="19"/>
      <c r="J238" s="19"/>
      <c r="K238" s="19"/>
      <c r="L238" s="19"/>
      <c r="M238" s="19"/>
      <c r="N238" s="19"/>
      <c r="O238" s="19"/>
      <c r="P238" s="19"/>
      <c r="Q238" s="19"/>
      <c r="R238" s="19"/>
      <c r="S238" s="19"/>
      <c r="T238" s="19"/>
    </row>
    <row r="239" spans="1:20" x14ac:dyDescent="0.15">
      <c r="A239" s="19"/>
      <c r="B239" s="19"/>
      <c r="C239" s="19"/>
      <c r="D239" s="19"/>
      <c r="E239" s="19"/>
      <c r="F239" s="19"/>
      <c r="G239" s="19"/>
      <c r="H239" s="19"/>
      <c r="I239" s="19"/>
      <c r="J239" s="19"/>
      <c r="K239" s="19"/>
      <c r="L239" s="19"/>
      <c r="M239" s="19"/>
      <c r="N239" s="19"/>
      <c r="O239" s="19"/>
      <c r="P239" s="19"/>
      <c r="Q239" s="19"/>
      <c r="R239" s="19"/>
      <c r="S239" s="19"/>
      <c r="T239" s="19"/>
    </row>
    <row r="240" spans="1:20" ht="14" x14ac:dyDescent="0.15">
      <c r="A240" s="19"/>
      <c r="B240" s="37" t="s">
        <v>607</v>
      </c>
      <c r="C240" s="19"/>
      <c r="D240" s="19"/>
      <c r="E240" s="19"/>
      <c r="F240" s="19"/>
      <c r="G240" s="19"/>
      <c r="H240" s="19"/>
      <c r="I240" s="19"/>
      <c r="J240" s="19"/>
      <c r="K240" s="19"/>
      <c r="L240" s="19"/>
      <c r="M240" s="19"/>
      <c r="N240" s="19"/>
      <c r="O240" s="19"/>
      <c r="P240" s="19"/>
      <c r="Q240" s="19"/>
      <c r="R240" s="19"/>
      <c r="S240" s="19"/>
      <c r="T240" s="19"/>
    </row>
    <row r="241" spans="1:20" ht="28" hidden="1" outlineLevel="1" x14ac:dyDescent="0.15">
      <c r="A241" s="19"/>
      <c r="B241" s="105" t="s">
        <v>608</v>
      </c>
      <c r="C241" s="95" t="s">
        <v>610</v>
      </c>
      <c r="D241" s="19" t="s">
        <v>611</v>
      </c>
      <c r="E241" s="19" t="s">
        <v>612</v>
      </c>
      <c r="F241" s="19"/>
      <c r="G241" s="19"/>
      <c r="H241" s="19"/>
      <c r="I241" s="19"/>
      <c r="J241" s="19"/>
      <c r="K241" s="19"/>
      <c r="L241" s="19"/>
      <c r="M241" s="19"/>
      <c r="N241" s="19"/>
      <c r="O241" s="19"/>
      <c r="P241" s="19"/>
      <c r="Q241" s="19"/>
      <c r="R241" s="19"/>
      <c r="S241" s="19"/>
      <c r="T241" s="19"/>
    </row>
    <row r="242" spans="1:20" ht="14" hidden="1" outlineLevel="1" x14ac:dyDescent="0.15">
      <c r="A242" s="19"/>
      <c r="B242" s="27" t="s">
        <v>482</v>
      </c>
      <c r="C242" s="252">
        <f>AVERAGE(1060,1792)</f>
        <v>1426</v>
      </c>
      <c r="D242" s="255">
        <f>C242/1000</f>
        <v>1.4259999999999999</v>
      </c>
      <c r="E242" s="256">
        <f>D242*$C$24</f>
        <v>6.4682271962E-4</v>
      </c>
      <c r="F242" s="19"/>
      <c r="G242" s="19"/>
      <c r="H242" s="19"/>
      <c r="I242" s="19"/>
      <c r="J242" s="19"/>
      <c r="K242" s="19"/>
      <c r="L242" s="19"/>
      <c r="M242" s="19"/>
      <c r="N242" s="19"/>
      <c r="O242" s="19"/>
      <c r="P242" s="19"/>
      <c r="Q242" s="19"/>
      <c r="R242" s="19"/>
      <c r="S242" s="19"/>
      <c r="T242" s="19"/>
    </row>
    <row r="243" spans="1:20" ht="14" hidden="1" outlineLevel="1" x14ac:dyDescent="0.15">
      <c r="A243" s="19"/>
      <c r="B243" s="37"/>
      <c r="C243" s="19"/>
      <c r="D243" s="19"/>
      <c r="E243" s="19"/>
      <c r="F243" s="19"/>
      <c r="G243" s="19"/>
      <c r="H243" s="19"/>
      <c r="I243" s="19"/>
      <c r="J243" s="19"/>
      <c r="K243" s="19"/>
      <c r="L243" s="19"/>
      <c r="M243" s="19"/>
      <c r="N243" s="19"/>
      <c r="O243" s="19"/>
      <c r="P243" s="19"/>
      <c r="Q243" s="19"/>
      <c r="R243" s="19"/>
      <c r="S243" s="19"/>
      <c r="T243" s="19"/>
    </row>
    <row r="244" spans="1:20" ht="14" hidden="1" outlineLevel="1" x14ac:dyDescent="0.15">
      <c r="A244" s="19"/>
      <c r="B244" s="229" t="s">
        <v>609</v>
      </c>
      <c r="C244" s="39"/>
      <c r="D244" s="39"/>
      <c r="E244" s="39"/>
      <c r="F244" s="39"/>
      <c r="G244" s="39"/>
      <c r="H244" s="39"/>
      <c r="I244" s="39"/>
      <c r="J244" s="39"/>
      <c r="K244" s="39"/>
      <c r="L244" s="39"/>
      <c r="M244" s="39"/>
      <c r="N244" s="39"/>
      <c r="O244" s="39"/>
      <c r="P244" s="39"/>
      <c r="Q244" s="19"/>
      <c r="R244" s="19"/>
      <c r="S244" s="19"/>
      <c r="T244" s="19"/>
    </row>
    <row r="245" spans="1:20" ht="15" hidden="1" outlineLevel="1" x14ac:dyDescent="0.2">
      <c r="A245" s="19"/>
      <c r="B245" s="228" t="s">
        <v>581</v>
      </c>
      <c r="C245" s="39"/>
      <c r="D245" s="39"/>
      <c r="E245" s="39"/>
      <c r="F245" s="39"/>
      <c r="G245" s="39"/>
      <c r="H245" s="39"/>
      <c r="I245" s="39"/>
      <c r="J245" s="39"/>
      <c r="K245" s="39"/>
      <c r="L245" s="39"/>
      <c r="M245" s="39"/>
      <c r="N245" s="39"/>
      <c r="O245" s="39"/>
      <c r="P245" s="39"/>
      <c r="Q245" s="19"/>
      <c r="R245" s="19"/>
      <c r="S245" s="19"/>
      <c r="T245" s="19"/>
    </row>
    <row r="246" spans="1:20" hidden="1" outlineLevel="1" x14ac:dyDescent="0.15">
      <c r="A246" s="19"/>
      <c r="B246" s="19"/>
      <c r="C246" s="19"/>
      <c r="D246" s="19"/>
      <c r="E246" s="19"/>
      <c r="F246" s="19"/>
      <c r="G246" s="19"/>
      <c r="H246" s="19"/>
      <c r="I246" s="19"/>
      <c r="J246" s="19"/>
      <c r="K246" s="19"/>
      <c r="L246" s="19"/>
      <c r="M246" s="19"/>
      <c r="N246" s="19"/>
      <c r="O246" s="19"/>
      <c r="P246" s="19"/>
      <c r="Q246" s="19"/>
      <c r="R246" s="19"/>
      <c r="S246" s="19"/>
      <c r="T246" s="19"/>
    </row>
    <row r="247" spans="1:20" ht="28" hidden="1" outlineLevel="1" x14ac:dyDescent="0.15">
      <c r="A247" s="19"/>
      <c r="B247" s="105" t="s">
        <v>941</v>
      </c>
      <c r="C247" s="95" t="s">
        <v>900</v>
      </c>
      <c r="D247" s="19" t="s">
        <v>611</v>
      </c>
      <c r="E247" s="19" t="s">
        <v>907</v>
      </c>
      <c r="F247" s="19" t="s">
        <v>899</v>
      </c>
      <c r="G247" s="19"/>
      <c r="H247" s="19"/>
      <c r="I247" s="19"/>
      <c r="J247" s="19"/>
      <c r="K247" s="19"/>
      <c r="L247" s="19"/>
      <c r="M247" s="19"/>
      <c r="N247" s="19"/>
      <c r="O247" s="19"/>
      <c r="P247" s="19"/>
      <c r="Q247" s="19"/>
      <c r="R247" s="19"/>
      <c r="S247" s="19"/>
      <c r="T247" s="19"/>
    </row>
    <row r="248" spans="1:20" ht="14" hidden="1" outlineLevel="1" x14ac:dyDescent="0.15">
      <c r="A248" s="19"/>
      <c r="B248" s="27" t="s">
        <v>482</v>
      </c>
      <c r="C248" s="459">
        <v>4.8</v>
      </c>
      <c r="D248" s="255">
        <f>C248/C25</f>
        <v>5.291092776004894</v>
      </c>
      <c r="E248" s="19"/>
      <c r="F248" s="19"/>
      <c r="G248" s="19" t="s">
        <v>204</v>
      </c>
      <c r="H248" s="19"/>
      <c r="I248" s="19"/>
      <c r="J248" s="19"/>
      <c r="K248" s="19"/>
      <c r="L248" s="19"/>
      <c r="M248" s="19"/>
      <c r="N248" s="19"/>
      <c r="O248" s="19"/>
      <c r="P248" s="19"/>
      <c r="Q248" s="19"/>
      <c r="R248" s="19"/>
      <c r="S248" s="19"/>
      <c r="T248" s="19"/>
    </row>
    <row r="249" spans="1:20" ht="14" hidden="1" outlineLevel="1" x14ac:dyDescent="0.15">
      <c r="A249" s="19"/>
      <c r="B249" s="27" t="s">
        <v>909</v>
      </c>
      <c r="C249" s="19"/>
      <c r="D249" s="19"/>
      <c r="E249" s="256">
        <f>D248/1000*0.0149</f>
        <v>7.8837282362472926E-5</v>
      </c>
      <c r="F249" s="256">
        <f>E249*24</f>
        <v>1.8920947766993502E-3</v>
      </c>
      <c r="G249" s="19" t="s">
        <v>205</v>
      </c>
      <c r="H249" s="19"/>
      <c r="I249" s="19"/>
      <c r="J249" s="19"/>
      <c r="K249" s="19"/>
      <c r="L249" s="19"/>
      <c r="M249" s="19"/>
      <c r="N249" s="19"/>
      <c r="O249" s="19"/>
      <c r="P249" s="19"/>
      <c r="Q249" s="19"/>
      <c r="R249" s="19"/>
      <c r="S249" s="19"/>
      <c r="T249" s="19"/>
    </row>
    <row r="250" spans="1:20" ht="14" hidden="1" outlineLevel="1" x14ac:dyDescent="0.15">
      <c r="A250" s="19"/>
      <c r="B250" s="27" t="s">
        <v>912</v>
      </c>
      <c r="C250" s="19"/>
      <c r="D250" s="19"/>
      <c r="E250" s="19"/>
      <c r="F250" s="19"/>
      <c r="G250" s="19"/>
      <c r="H250" s="19"/>
      <c r="I250" s="19"/>
      <c r="J250" s="19"/>
      <c r="K250" s="19"/>
      <c r="L250" s="19"/>
      <c r="M250" s="19"/>
      <c r="N250" s="19"/>
      <c r="O250" s="19"/>
      <c r="P250" s="19"/>
      <c r="Q250" s="19"/>
      <c r="R250" s="19"/>
      <c r="S250" s="19"/>
      <c r="T250" s="19"/>
    </row>
    <row r="251" spans="1:20" ht="14" hidden="1" outlineLevel="1" x14ac:dyDescent="0.15">
      <c r="A251" s="19"/>
      <c r="B251" s="37"/>
      <c r="C251" s="19"/>
      <c r="D251" s="19"/>
      <c r="E251" s="19"/>
      <c r="F251" s="19"/>
      <c r="G251" s="19"/>
      <c r="H251" s="19"/>
      <c r="I251" s="19"/>
      <c r="J251" s="19"/>
      <c r="K251" s="19"/>
      <c r="L251" s="19"/>
      <c r="M251" s="19"/>
      <c r="N251" s="19"/>
      <c r="O251" s="19"/>
      <c r="P251" s="19"/>
      <c r="Q251" s="19"/>
      <c r="R251" s="19"/>
      <c r="S251" s="19"/>
      <c r="T251" s="19"/>
    </row>
    <row r="252" spans="1:20" ht="14" hidden="1" outlineLevel="1" x14ac:dyDescent="0.15">
      <c r="A252" s="19"/>
      <c r="B252" s="229" t="s">
        <v>910</v>
      </c>
      <c r="C252" s="39"/>
      <c r="D252" s="39"/>
      <c r="E252" s="39"/>
      <c r="F252" s="39"/>
      <c r="G252" s="39"/>
      <c r="H252" s="39"/>
      <c r="I252" s="39"/>
      <c r="J252" s="39"/>
      <c r="K252" s="39"/>
      <c r="L252" s="39"/>
      <c r="M252" s="39"/>
      <c r="N252" s="39"/>
      <c r="O252" s="39"/>
      <c r="P252" s="39"/>
      <c r="Q252" s="19"/>
      <c r="R252" s="19"/>
      <c r="S252" s="19"/>
      <c r="T252" s="19"/>
    </row>
    <row r="253" spans="1:20" ht="15" hidden="1" outlineLevel="1" x14ac:dyDescent="0.2">
      <c r="A253" s="19"/>
      <c r="B253" s="228" t="s">
        <v>906</v>
      </c>
      <c r="C253" s="39"/>
      <c r="D253" s="39"/>
      <c r="E253" s="39"/>
      <c r="F253" s="39"/>
      <c r="G253" s="39"/>
      <c r="H253" s="39"/>
      <c r="I253" s="39"/>
      <c r="J253" s="39"/>
      <c r="K253" s="39"/>
      <c r="L253" s="39"/>
      <c r="M253" s="39"/>
      <c r="N253" s="39"/>
      <c r="O253" s="39"/>
      <c r="P253" s="39"/>
      <c r="Q253" s="19"/>
      <c r="R253" s="19"/>
      <c r="S253" s="19"/>
      <c r="T253" s="19"/>
    </row>
    <row r="254" spans="1:20" ht="14" hidden="1" outlineLevel="1" x14ac:dyDescent="0.15">
      <c r="A254" s="19"/>
      <c r="B254" s="229" t="s">
        <v>911</v>
      </c>
      <c r="C254" s="39"/>
      <c r="D254" s="39"/>
      <c r="E254" s="39"/>
      <c r="F254" s="39"/>
      <c r="G254" s="39"/>
      <c r="H254" s="39"/>
      <c r="I254" s="39"/>
      <c r="J254" s="39"/>
      <c r="K254" s="39"/>
      <c r="L254" s="39"/>
      <c r="M254" s="39"/>
      <c r="N254" s="39"/>
      <c r="O254" s="39"/>
      <c r="P254" s="39"/>
      <c r="Q254" s="19"/>
      <c r="R254" s="19"/>
      <c r="S254" s="19"/>
      <c r="T254" s="19"/>
    </row>
    <row r="255" spans="1:20" ht="15" hidden="1" outlineLevel="1" x14ac:dyDescent="0.2">
      <c r="A255" s="19"/>
      <c r="B255" s="228" t="s">
        <v>908</v>
      </c>
      <c r="C255" s="39"/>
      <c r="D255" s="39"/>
      <c r="E255" s="39"/>
      <c r="F255" s="39"/>
      <c r="G255" s="39"/>
      <c r="H255" s="39"/>
      <c r="I255" s="39"/>
      <c r="J255" s="39"/>
      <c r="K255" s="39"/>
      <c r="L255" s="39"/>
      <c r="M255" s="39"/>
      <c r="N255" s="39"/>
      <c r="O255" s="39"/>
      <c r="P255" s="39"/>
      <c r="Q255" s="19"/>
      <c r="R255" s="19"/>
      <c r="S255" s="19"/>
      <c r="T255" s="19"/>
    </row>
    <row r="256" spans="1:20" hidden="1" outlineLevel="1" x14ac:dyDescent="0.15">
      <c r="A256" s="19"/>
      <c r="B256" s="19"/>
      <c r="C256" s="19"/>
      <c r="D256" s="19"/>
      <c r="E256" s="19"/>
      <c r="F256" s="19"/>
      <c r="G256" s="19"/>
      <c r="H256" s="19"/>
      <c r="I256" s="19"/>
      <c r="J256" s="19"/>
      <c r="K256" s="19"/>
      <c r="L256" s="19"/>
      <c r="M256" s="19"/>
      <c r="N256" s="19"/>
      <c r="O256" s="19"/>
      <c r="P256" s="19"/>
      <c r="Q256" s="19"/>
      <c r="R256" s="19"/>
      <c r="S256" s="19"/>
      <c r="T256" s="19"/>
    </row>
    <row r="257" spans="1:20" hidden="1" outlineLevel="1" x14ac:dyDescent="0.15">
      <c r="A257" s="19"/>
      <c r="B257" s="105" t="s">
        <v>316</v>
      </c>
      <c r="C257" s="19"/>
      <c r="D257" s="19"/>
      <c r="E257" s="19"/>
      <c r="F257" s="19"/>
      <c r="G257" s="19"/>
      <c r="H257" s="19"/>
      <c r="I257" s="19"/>
      <c r="J257" s="19"/>
      <c r="K257" s="19"/>
      <c r="L257" s="19"/>
      <c r="M257" s="19"/>
      <c r="N257" s="19"/>
      <c r="O257" s="19"/>
      <c r="P257" s="19"/>
      <c r="Q257" s="19"/>
      <c r="R257" s="19"/>
      <c r="S257" s="19"/>
      <c r="T257" s="19"/>
    </row>
    <row r="258" spans="1:20" ht="41" hidden="1" customHeight="1" outlineLevel="1" x14ac:dyDescent="0.15">
      <c r="A258" s="19"/>
      <c r="B258" s="94" t="s">
        <v>634</v>
      </c>
      <c r="C258" s="95" t="s">
        <v>387</v>
      </c>
      <c r="D258" s="19"/>
      <c r="E258" s="19"/>
      <c r="F258" s="19"/>
      <c r="G258" s="19"/>
      <c r="H258" s="19"/>
      <c r="I258" s="19"/>
      <c r="J258" s="19"/>
      <c r="K258" s="19"/>
      <c r="L258" s="19"/>
      <c r="M258" s="19"/>
      <c r="N258" s="19"/>
      <c r="O258" s="19"/>
      <c r="P258" s="19"/>
      <c r="Q258" s="19"/>
      <c r="R258" s="19"/>
      <c r="S258" s="19"/>
      <c r="T258" s="19"/>
    </row>
    <row r="259" spans="1:20" ht="28" hidden="1" outlineLevel="1" x14ac:dyDescent="0.15">
      <c r="A259" s="19"/>
      <c r="B259" s="95" t="s">
        <v>388</v>
      </c>
      <c r="C259" s="303">
        <f>1.25/1000</f>
        <v>1.25E-3</v>
      </c>
      <c r="D259" s="35" t="s">
        <v>204</v>
      </c>
      <c r="E259" s="19"/>
      <c r="F259" s="19"/>
      <c r="G259" s="19"/>
      <c r="H259" s="19"/>
      <c r="I259" s="19"/>
      <c r="J259" s="19"/>
      <c r="K259" s="19"/>
      <c r="L259" s="19"/>
      <c r="M259" s="19"/>
      <c r="N259" s="19"/>
      <c r="O259" s="19"/>
      <c r="P259" s="19"/>
      <c r="Q259" s="19"/>
      <c r="R259" s="19"/>
      <c r="S259" s="19"/>
      <c r="T259" s="19"/>
    </row>
    <row r="260" spans="1:20" ht="28" hidden="1" outlineLevel="1" x14ac:dyDescent="0.15">
      <c r="A260" s="19"/>
      <c r="B260" s="95" t="s">
        <v>380</v>
      </c>
      <c r="C260" s="96">
        <v>0.34179999999999999</v>
      </c>
      <c r="D260" s="19" t="s">
        <v>205</v>
      </c>
      <c r="E260" s="19"/>
      <c r="F260" s="19"/>
      <c r="G260" s="19"/>
      <c r="H260" s="19"/>
      <c r="I260" s="19"/>
      <c r="J260" s="19"/>
      <c r="K260" s="19"/>
      <c r="L260" s="19"/>
      <c r="M260" s="19"/>
      <c r="N260" s="19"/>
      <c r="O260" s="19"/>
      <c r="P260" s="19"/>
      <c r="Q260" s="19"/>
      <c r="R260" s="19"/>
      <c r="S260" s="19"/>
      <c r="T260" s="19"/>
    </row>
    <row r="261" spans="1:20" ht="28" hidden="1" outlineLevel="1" x14ac:dyDescent="0.15">
      <c r="A261" s="19"/>
      <c r="B261" s="95" t="s">
        <v>389</v>
      </c>
      <c r="C261" s="97">
        <f>C259*(1-C260)</f>
        <v>8.2275000000000002E-4</v>
      </c>
      <c r="D261" s="19"/>
      <c r="E261" s="19"/>
      <c r="F261" s="19"/>
      <c r="G261" s="19"/>
      <c r="H261" s="19"/>
      <c r="I261" s="19"/>
      <c r="J261" s="19"/>
      <c r="K261" s="19"/>
      <c r="L261" s="19"/>
      <c r="M261" s="19"/>
      <c r="N261" s="19"/>
      <c r="O261" s="19"/>
      <c r="P261" s="19"/>
      <c r="Q261" s="19"/>
      <c r="R261" s="19"/>
      <c r="S261" s="19"/>
      <c r="T261" s="19"/>
    </row>
    <row r="262" spans="1:20" hidden="1" outlineLevel="1" x14ac:dyDescent="0.15">
      <c r="A262" s="19"/>
      <c r="B262" s="19"/>
      <c r="C262" s="73"/>
      <c r="D262" s="73"/>
      <c r="E262" s="73"/>
      <c r="F262" s="19"/>
      <c r="G262" s="19"/>
      <c r="H262" s="19"/>
      <c r="I262" s="19"/>
      <c r="J262" s="19"/>
      <c r="K262" s="19"/>
      <c r="L262" s="19"/>
      <c r="M262" s="19"/>
      <c r="N262" s="19"/>
      <c r="O262" s="19"/>
      <c r="P262" s="19"/>
      <c r="Q262" s="19"/>
      <c r="R262" s="19"/>
      <c r="S262" s="19"/>
      <c r="T262" s="19"/>
    </row>
    <row r="263" spans="1:20" ht="14" hidden="1" customHeight="1" outlineLevel="1" x14ac:dyDescent="0.15">
      <c r="A263" s="19"/>
      <c r="B263" s="39" t="s">
        <v>875</v>
      </c>
      <c r="C263" s="39"/>
      <c r="D263" s="39"/>
      <c r="E263" s="39"/>
      <c r="F263" s="39"/>
      <c r="G263" s="39"/>
      <c r="H263" s="39"/>
      <c r="I263" s="39"/>
      <c r="J263" s="39"/>
      <c r="K263" s="39"/>
      <c r="L263" s="39"/>
      <c r="M263" s="39"/>
      <c r="N263" s="39"/>
      <c r="O263" s="39"/>
      <c r="P263" s="39"/>
      <c r="Q263" s="19"/>
      <c r="R263" s="19"/>
      <c r="S263" s="19"/>
      <c r="T263" s="19"/>
    </row>
    <row r="264" spans="1:20" ht="14" hidden="1" customHeight="1" outlineLevel="1" x14ac:dyDescent="0.15">
      <c r="A264" s="19"/>
      <c r="B264" s="98" t="s">
        <v>407</v>
      </c>
      <c r="C264" s="39"/>
      <c r="D264" s="39"/>
      <c r="E264" s="39"/>
      <c r="F264" s="39"/>
      <c r="G264" s="39"/>
      <c r="H264" s="39"/>
      <c r="I264" s="39"/>
      <c r="J264" s="39"/>
      <c r="K264" s="39"/>
      <c r="L264" s="39"/>
      <c r="M264" s="39"/>
      <c r="N264" s="39"/>
      <c r="O264" s="39"/>
      <c r="P264" s="39"/>
      <c r="Q264" s="19"/>
      <c r="R264" s="19"/>
      <c r="S264" s="19"/>
      <c r="T264" s="19"/>
    </row>
    <row r="265" spans="1:20" ht="14" hidden="1" customHeight="1" outlineLevel="1" x14ac:dyDescent="0.15">
      <c r="A265" s="19"/>
      <c r="B265" s="39" t="s">
        <v>419</v>
      </c>
      <c r="C265" s="39"/>
      <c r="D265" s="39"/>
      <c r="E265" s="39"/>
      <c r="F265" s="39"/>
      <c r="G265" s="39"/>
      <c r="H265" s="39"/>
      <c r="I265" s="39"/>
      <c r="J265" s="39"/>
      <c r="K265" s="39"/>
      <c r="L265" s="39"/>
      <c r="M265" s="39"/>
      <c r="N265" s="39"/>
      <c r="O265" s="39"/>
      <c r="P265" s="39"/>
      <c r="Q265" s="19"/>
      <c r="R265" s="19"/>
      <c r="S265" s="19"/>
      <c r="T265" s="19"/>
    </row>
    <row r="266" spans="1:20" ht="14" hidden="1" customHeight="1" outlineLevel="1" x14ac:dyDescent="0.15">
      <c r="A266" s="19"/>
      <c r="B266" s="69" t="s">
        <v>342</v>
      </c>
      <c r="C266" s="39"/>
      <c r="D266" s="39"/>
      <c r="E266" s="39"/>
      <c r="F266" s="39"/>
      <c r="G266" s="39"/>
      <c r="H266" s="39"/>
      <c r="I266" s="39"/>
      <c r="J266" s="39"/>
      <c r="K266" s="39"/>
      <c r="L266" s="39"/>
      <c r="M266" s="39"/>
      <c r="N266" s="39"/>
      <c r="O266" s="39"/>
      <c r="P266" s="39"/>
      <c r="Q266" s="19"/>
      <c r="R266" s="19"/>
      <c r="S266" s="19"/>
      <c r="T266" s="19"/>
    </row>
    <row r="267" spans="1:20" ht="14" hidden="1" customHeight="1" outlineLevel="1" x14ac:dyDescent="0.15">
      <c r="A267" s="19"/>
      <c r="B267" s="99"/>
      <c r="C267" s="19"/>
      <c r="D267" s="19"/>
      <c r="E267" s="19"/>
      <c r="F267" s="19"/>
      <c r="G267" s="19"/>
      <c r="H267" s="19"/>
      <c r="I267" s="19"/>
      <c r="J267" s="19"/>
      <c r="K267" s="19"/>
      <c r="L267" s="19"/>
      <c r="M267" s="19"/>
      <c r="N267" s="19"/>
      <c r="O267" s="19"/>
      <c r="P267" s="19"/>
      <c r="Q267" s="19"/>
      <c r="R267" s="19"/>
      <c r="S267" s="19"/>
      <c r="T267" s="19"/>
    </row>
    <row r="268" spans="1:20" ht="14" hidden="1" customHeight="1" outlineLevel="1" x14ac:dyDescent="0.15">
      <c r="A268" s="19"/>
      <c r="B268" s="94" t="s">
        <v>382</v>
      </c>
      <c r="C268" s="19"/>
      <c r="D268" s="19"/>
      <c r="E268" s="19"/>
      <c r="F268" s="19"/>
      <c r="G268" s="19"/>
      <c r="H268" s="19"/>
      <c r="I268" s="19"/>
      <c r="J268" s="19"/>
      <c r="K268" s="19"/>
      <c r="L268" s="19"/>
      <c r="M268" s="19"/>
      <c r="N268" s="19"/>
      <c r="O268" s="19"/>
      <c r="P268" s="19"/>
      <c r="Q268" s="19"/>
      <c r="R268" s="19"/>
      <c r="S268" s="19"/>
      <c r="T268" s="19"/>
    </row>
    <row r="269" spans="1:20" ht="14" hidden="1" customHeight="1" outlineLevel="1" x14ac:dyDescent="0.15">
      <c r="A269" s="19"/>
      <c r="B269" s="35" t="s">
        <v>294</v>
      </c>
      <c r="C269" s="73" t="s">
        <v>223</v>
      </c>
      <c r="D269" s="19"/>
      <c r="E269" s="19"/>
      <c r="F269" s="19"/>
      <c r="G269" s="19"/>
      <c r="H269" s="27" t="s">
        <v>418</v>
      </c>
      <c r="I269" s="19"/>
      <c r="J269" s="19"/>
      <c r="K269" s="19"/>
      <c r="L269" s="19"/>
      <c r="M269" s="19"/>
      <c r="N269" s="19"/>
      <c r="O269" s="19"/>
      <c r="P269" s="19"/>
      <c r="Q269" s="19"/>
      <c r="R269" s="19"/>
      <c r="S269" s="19"/>
    </row>
    <row r="270" spans="1:20" ht="14" hidden="1" customHeight="1" outlineLevel="1" x14ac:dyDescent="0.15">
      <c r="A270" s="19"/>
      <c r="B270" s="19" t="s">
        <v>227</v>
      </c>
      <c r="C270" s="100">
        <v>454</v>
      </c>
      <c r="D270" s="19" t="s">
        <v>384</v>
      </c>
      <c r="E270" s="19"/>
      <c r="F270" s="19"/>
      <c r="G270" s="19"/>
      <c r="H270" s="101">
        <v>0</v>
      </c>
      <c r="I270" s="19"/>
      <c r="J270" s="19"/>
      <c r="K270" s="19"/>
      <c r="L270" s="19"/>
      <c r="M270" s="19"/>
      <c r="N270" s="19"/>
      <c r="O270" s="19"/>
      <c r="P270" s="19"/>
      <c r="Q270" s="19"/>
      <c r="R270" s="19"/>
      <c r="S270" s="19"/>
    </row>
    <row r="271" spans="1:20" ht="14" hidden="1" customHeight="1" outlineLevel="1" x14ac:dyDescent="0.15">
      <c r="A271" s="19"/>
      <c r="B271" s="19" t="s">
        <v>228</v>
      </c>
      <c r="C271" s="100">
        <v>635</v>
      </c>
      <c r="D271" s="19" t="s">
        <v>384</v>
      </c>
      <c r="E271" s="19"/>
      <c r="F271" s="19"/>
      <c r="G271" s="19"/>
      <c r="H271" s="101">
        <v>0.05</v>
      </c>
      <c r="I271" s="19"/>
      <c r="J271" s="19"/>
      <c r="K271" s="19"/>
      <c r="L271" s="19"/>
      <c r="M271" s="19"/>
      <c r="N271" s="19"/>
      <c r="O271" s="19"/>
      <c r="P271" s="19"/>
      <c r="Q271" s="19"/>
      <c r="R271" s="19"/>
      <c r="S271" s="19"/>
    </row>
    <row r="272" spans="1:20" ht="14" hidden="1" outlineLevel="1" x14ac:dyDescent="0.15">
      <c r="A272" s="19"/>
      <c r="B272" s="19" t="s">
        <v>229</v>
      </c>
      <c r="C272" s="100">
        <v>677</v>
      </c>
      <c r="D272" s="19" t="s">
        <v>384</v>
      </c>
      <c r="E272" s="19"/>
      <c r="F272" s="19"/>
      <c r="G272" s="19"/>
      <c r="H272" s="101">
        <v>0.1</v>
      </c>
      <c r="I272" s="19"/>
      <c r="J272" s="19"/>
      <c r="K272" s="19"/>
      <c r="L272" s="19"/>
      <c r="M272" s="19"/>
      <c r="N272" s="19"/>
      <c r="O272" s="19"/>
      <c r="P272" s="19"/>
      <c r="Q272" s="19"/>
      <c r="R272" s="19"/>
      <c r="S272" s="19"/>
    </row>
    <row r="273" spans="1:19" ht="14" hidden="1" outlineLevel="1" x14ac:dyDescent="0.15">
      <c r="A273" s="19"/>
      <c r="B273" s="19" t="s">
        <v>230</v>
      </c>
      <c r="C273" s="100">
        <v>595</v>
      </c>
      <c r="D273" s="19" t="s">
        <v>384</v>
      </c>
      <c r="E273" s="19"/>
      <c r="F273" s="19"/>
      <c r="G273" s="19"/>
      <c r="H273" s="101">
        <v>0.15</v>
      </c>
      <c r="I273" s="19"/>
      <c r="J273" s="19"/>
      <c r="K273" s="19"/>
      <c r="L273" s="19"/>
      <c r="M273" s="19"/>
      <c r="N273" s="19"/>
      <c r="O273" s="19"/>
      <c r="P273" s="19"/>
      <c r="Q273" s="19"/>
      <c r="R273" s="19"/>
      <c r="S273" s="19"/>
    </row>
    <row r="274" spans="1:19" ht="14" hidden="1" outlineLevel="1" x14ac:dyDescent="0.15">
      <c r="A274" s="19"/>
      <c r="B274" s="19" t="s">
        <v>231</v>
      </c>
      <c r="C274" s="100">
        <v>595</v>
      </c>
      <c r="D274" s="19" t="s">
        <v>384</v>
      </c>
      <c r="E274" s="19"/>
      <c r="F274" s="19"/>
      <c r="G274" s="19"/>
      <c r="H274" s="101">
        <v>0.2</v>
      </c>
      <c r="I274" s="19"/>
      <c r="J274" s="19"/>
      <c r="K274" s="19"/>
      <c r="L274" s="19"/>
      <c r="M274" s="19"/>
      <c r="N274" s="19"/>
      <c r="O274" s="19"/>
      <c r="P274" s="19"/>
      <c r="Q274" s="19"/>
      <c r="R274" s="19"/>
      <c r="S274" s="19"/>
    </row>
    <row r="275" spans="1:19" ht="14" hidden="1" outlineLevel="1" x14ac:dyDescent="0.15">
      <c r="A275" s="19"/>
      <c r="B275" s="19" t="s">
        <v>232</v>
      </c>
      <c r="C275" s="100">
        <v>550</v>
      </c>
      <c r="D275" s="19" t="s">
        <v>384</v>
      </c>
      <c r="E275" s="19"/>
      <c r="F275" s="19"/>
      <c r="G275" s="19"/>
      <c r="H275" s="101">
        <v>0.25</v>
      </c>
      <c r="I275" s="19"/>
      <c r="J275" s="19"/>
      <c r="K275" s="19"/>
      <c r="L275" s="19"/>
      <c r="M275" s="19"/>
      <c r="N275" s="19"/>
      <c r="O275" s="19"/>
      <c r="P275" s="19"/>
      <c r="Q275" s="19"/>
      <c r="R275" s="19"/>
      <c r="S275" s="19"/>
    </row>
    <row r="276" spans="1:19" ht="14" hidden="1" outlineLevel="1" x14ac:dyDescent="0.15">
      <c r="A276" s="19"/>
      <c r="B276" s="19" t="s">
        <v>233</v>
      </c>
      <c r="C276" s="100">
        <v>397</v>
      </c>
      <c r="D276" s="19" t="s">
        <v>384</v>
      </c>
      <c r="E276" s="19"/>
      <c r="F276" s="19"/>
      <c r="G276" s="19"/>
      <c r="H276" s="101">
        <v>0.3</v>
      </c>
      <c r="I276" s="19"/>
      <c r="J276" s="19"/>
      <c r="K276" s="19"/>
      <c r="L276" s="19"/>
      <c r="M276" s="19"/>
      <c r="N276" s="19"/>
      <c r="O276" s="19"/>
      <c r="P276" s="19"/>
      <c r="Q276" s="19"/>
      <c r="R276" s="19"/>
      <c r="S276" s="19"/>
    </row>
    <row r="277" spans="1:19" ht="14" hidden="1" outlineLevel="1" x14ac:dyDescent="0.15">
      <c r="A277" s="19"/>
      <c r="B277" s="19" t="s">
        <v>233</v>
      </c>
      <c r="C277" s="100">
        <v>397</v>
      </c>
      <c r="D277" s="19" t="s">
        <v>384</v>
      </c>
      <c r="E277" s="19"/>
      <c r="F277" s="19"/>
      <c r="G277" s="19"/>
      <c r="H277" s="101">
        <v>0.35</v>
      </c>
      <c r="I277" s="19"/>
      <c r="J277" s="19"/>
      <c r="K277" s="19"/>
      <c r="L277" s="19"/>
      <c r="M277" s="19"/>
      <c r="N277" s="19"/>
      <c r="O277" s="19"/>
      <c r="P277" s="19"/>
      <c r="Q277" s="19"/>
      <c r="R277" s="19"/>
      <c r="S277" s="19"/>
    </row>
    <row r="278" spans="1:19" ht="14" hidden="1" outlineLevel="1" x14ac:dyDescent="0.15">
      <c r="A278" s="19"/>
      <c r="B278" s="19" t="s">
        <v>234</v>
      </c>
      <c r="C278" s="100">
        <v>635</v>
      </c>
      <c r="D278" s="19" t="s">
        <v>384</v>
      </c>
      <c r="E278" s="19"/>
      <c r="F278" s="19"/>
      <c r="G278" s="19"/>
      <c r="H278" s="101">
        <v>0.4</v>
      </c>
      <c r="I278" s="19"/>
      <c r="J278" s="19"/>
      <c r="K278" s="19"/>
      <c r="L278" s="19"/>
      <c r="M278" s="19"/>
      <c r="N278" s="19"/>
      <c r="O278" s="19"/>
      <c r="P278" s="19"/>
      <c r="Q278" s="19"/>
      <c r="R278" s="19"/>
      <c r="S278" s="19"/>
    </row>
    <row r="279" spans="1:19" ht="14" hidden="1" outlineLevel="1" x14ac:dyDescent="0.15">
      <c r="A279" s="19"/>
      <c r="B279" s="19" t="s">
        <v>235</v>
      </c>
      <c r="C279" s="100">
        <v>468</v>
      </c>
      <c r="D279" s="19" t="s">
        <v>384</v>
      </c>
      <c r="E279" s="19"/>
      <c r="F279" s="19"/>
      <c r="G279" s="19"/>
      <c r="H279" s="101">
        <v>0.45</v>
      </c>
      <c r="I279" s="19"/>
      <c r="J279" s="19"/>
      <c r="K279" s="19"/>
      <c r="L279" s="19"/>
      <c r="M279" s="19"/>
      <c r="N279" s="19"/>
      <c r="O279" s="19"/>
      <c r="P279" s="19"/>
      <c r="Q279" s="19"/>
      <c r="R279" s="19"/>
      <c r="S279" s="19"/>
    </row>
    <row r="280" spans="1:19" ht="14" hidden="1" outlineLevel="1" x14ac:dyDescent="0.15">
      <c r="A280" s="19"/>
      <c r="B280" s="19" t="s">
        <v>235</v>
      </c>
      <c r="C280" s="100">
        <v>468</v>
      </c>
      <c r="D280" s="19" t="s">
        <v>384</v>
      </c>
      <c r="E280" s="19"/>
      <c r="F280" s="19"/>
      <c r="G280" s="19"/>
      <c r="H280" s="101">
        <v>0.5</v>
      </c>
      <c r="I280" s="19"/>
      <c r="J280" s="19"/>
      <c r="K280" s="19"/>
      <c r="L280" s="19"/>
      <c r="M280" s="19"/>
      <c r="N280" s="19"/>
      <c r="O280" s="19"/>
      <c r="P280" s="19"/>
      <c r="Q280" s="19"/>
      <c r="R280" s="19"/>
      <c r="S280" s="19"/>
    </row>
    <row r="281" spans="1:19" ht="14" hidden="1" outlineLevel="1" x14ac:dyDescent="0.15">
      <c r="A281" s="19"/>
      <c r="B281" s="19" t="s">
        <v>236</v>
      </c>
      <c r="C281" s="100">
        <v>513</v>
      </c>
      <c r="D281" s="19" t="s">
        <v>384</v>
      </c>
      <c r="E281" s="19"/>
      <c r="F281" s="19"/>
      <c r="G281" s="19"/>
      <c r="H281" s="101">
        <v>0.55000000000000004</v>
      </c>
      <c r="I281" s="19"/>
      <c r="J281" s="19"/>
      <c r="K281" s="19"/>
      <c r="L281" s="19"/>
      <c r="M281" s="19"/>
      <c r="N281" s="19"/>
      <c r="O281" s="19"/>
      <c r="P281" s="19"/>
      <c r="Q281" s="19"/>
      <c r="R281" s="19"/>
      <c r="S281" s="19"/>
    </row>
    <row r="282" spans="1:19" ht="14" hidden="1" outlineLevel="1" x14ac:dyDescent="0.15">
      <c r="A282" s="19"/>
      <c r="B282" s="19" t="s">
        <v>226</v>
      </c>
      <c r="C282" s="100">
        <v>850</v>
      </c>
      <c r="D282" s="19" t="s">
        <v>384</v>
      </c>
      <c r="E282" s="19"/>
      <c r="F282" s="19"/>
      <c r="G282" s="19"/>
      <c r="H282" s="101">
        <v>0.6</v>
      </c>
      <c r="I282" s="19"/>
      <c r="J282" s="19"/>
      <c r="K282" s="19"/>
      <c r="L282" s="19"/>
      <c r="M282" s="19"/>
      <c r="N282" s="19"/>
      <c r="O282" s="19"/>
      <c r="P282" s="19"/>
      <c r="Q282" s="19"/>
      <c r="R282" s="19"/>
      <c r="S282" s="19"/>
    </row>
    <row r="283" spans="1:19" ht="14" hidden="1" outlineLevel="1" x14ac:dyDescent="0.15">
      <c r="A283" s="19"/>
      <c r="B283" s="19" t="s">
        <v>240</v>
      </c>
      <c r="C283" s="100">
        <v>900</v>
      </c>
      <c r="D283" s="19" t="s">
        <v>384</v>
      </c>
      <c r="E283" s="19"/>
      <c r="F283" s="19"/>
      <c r="G283" s="19"/>
      <c r="H283" s="101">
        <v>0.65</v>
      </c>
      <c r="I283" s="19"/>
      <c r="J283" s="19"/>
      <c r="K283" s="19"/>
      <c r="L283" s="19"/>
      <c r="M283" s="19"/>
      <c r="N283" s="19"/>
      <c r="O283" s="19"/>
      <c r="P283" s="19"/>
      <c r="Q283" s="19"/>
      <c r="R283" s="19"/>
      <c r="S283" s="19"/>
    </row>
    <row r="284" spans="1:19" ht="14" hidden="1" outlineLevel="1" x14ac:dyDescent="0.15">
      <c r="A284" s="19"/>
      <c r="B284" s="19" t="s">
        <v>237</v>
      </c>
      <c r="C284" s="100">
        <v>439</v>
      </c>
      <c r="D284" s="19" t="s">
        <v>384</v>
      </c>
      <c r="E284" s="19"/>
      <c r="F284" s="19"/>
      <c r="G284" s="19"/>
      <c r="H284" s="101">
        <v>0.7</v>
      </c>
      <c r="I284" s="19"/>
      <c r="J284" s="19"/>
      <c r="K284" s="19"/>
      <c r="L284" s="19"/>
      <c r="M284" s="19"/>
      <c r="N284" s="19"/>
      <c r="O284" s="19"/>
      <c r="P284" s="19"/>
      <c r="Q284" s="19"/>
      <c r="R284" s="19"/>
      <c r="S284" s="19"/>
    </row>
    <row r="285" spans="1:19" ht="14" hidden="1" outlineLevel="1" x14ac:dyDescent="0.15">
      <c r="A285" s="19"/>
      <c r="B285" s="19" t="s">
        <v>239</v>
      </c>
      <c r="C285" s="100">
        <v>542</v>
      </c>
      <c r="D285" s="19" t="s">
        <v>384</v>
      </c>
      <c r="E285" s="19"/>
      <c r="F285" s="19"/>
      <c r="G285" s="19"/>
      <c r="H285" s="101">
        <v>0.75</v>
      </c>
      <c r="I285" s="19"/>
      <c r="J285" s="19"/>
      <c r="K285" s="19"/>
      <c r="L285" s="19"/>
      <c r="M285" s="19"/>
      <c r="N285" s="19"/>
      <c r="O285" s="19"/>
      <c r="P285" s="19"/>
      <c r="Q285" s="19"/>
      <c r="R285" s="19"/>
      <c r="S285" s="19"/>
    </row>
    <row r="286" spans="1:19" ht="14" hidden="1" outlineLevel="1" x14ac:dyDescent="0.15">
      <c r="A286" s="19"/>
      <c r="B286" s="19" t="s">
        <v>239</v>
      </c>
      <c r="C286" s="100">
        <v>564</v>
      </c>
      <c r="D286" s="19" t="s">
        <v>384</v>
      </c>
      <c r="E286" s="19"/>
      <c r="F286" s="19"/>
      <c r="G286" s="19"/>
      <c r="H286" s="101">
        <v>0.8</v>
      </c>
      <c r="I286" s="19"/>
      <c r="J286" s="19"/>
      <c r="K286" s="19"/>
      <c r="L286" s="19"/>
      <c r="M286" s="19"/>
      <c r="N286" s="19"/>
      <c r="O286" s="19"/>
      <c r="P286" s="19"/>
      <c r="Q286" s="19"/>
      <c r="R286" s="19"/>
      <c r="S286" s="19"/>
    </row>
    <row r="287" spans="1:19" ht="14" hidden="1" outlineLevel="1" x14ac:dyDescent="0.15">
      <c r="A287" s="19"/>
      <c r="B287" s="19" t="s">
        <v>238</v>
      </c>
      <c r="C287" s="100">
        <v>450</v>
      </c>
      <c r="D287" s="19" t="s">
        <v>384</v>
      </c>
      <c r="E287" s="19"/>
      <c r="F287" s="19"/>
      <c r="G287" s="19"/>
      <c r="H287" s="101">
        <v>0.85</v>
      </c>
      <c r="I287" s="19"/>
      <c r="J287" s="19"/>
      <c r="K287" s="19"/>
      <c r="L287" s="19"/>
      <c r="M287" s="19"/>
      <c r="N287" s="19"/>
      <c r="O287" s="19"/>
      <c r="P287" s="19"/>
      <c r="Q287" s="19"/>
      <c r="R287" s="19"/>
      <c r="S287" s="19"/>
    </row>
    <row r="288" spans="1:19" ht="14" hidden="1" outlineLevel="1" x14ac:dyDescent="0.15">
      <c r="A288" s="19"/>
      <c r="B288" s="19" t="s">
        <v>238</v>
      </c>
      <c r="C288" s="100">
        <v>450</v>
      </c>
      <c r="D288" s="19" t="s">
        <v>384</v>
      </c>
      <c r="E288" s="19"/>
      <c r="F288" s="19"/>
      <c r="G288" s="19"/>
      <c r="H288" s="101">
        <v>0.9</v>
      </c>
      <c r="I288" s="19"/>
      <c r="J288" s="19"/>
      <c r="K288" s="19"/>
      <c r="L288" s="19"/>
      <c r="M288" s="19"/>
      <c r="N288" s="19"/>
      <c r="O288" s="19"/>
      <c r="P288" s="19"/>
      <c r="Q288" s="19"/>
      <c r="R288" s="19"/>
      <c r="S288" s="19"/>
    </row>
    <row r="289" spans="1:19" ht="14" hidden="1" outlineLevel="1" x14ac:dyDescent="0.15">
      <c r="A289" s="19"/>
      <c r="B289" s="19" t="s">
        <v>242</v>
      </c>
      <c r="C289" s="100">
        <v>468</v>
      </c>
      <c r="D289" s="19" t="s">
        <v>384</v>
      </c>
      <c r="E289" s="19"/>
      <c r="F289" s="19"/>
      <c r="G289" s="19"/>
      <c r="H289" s="101">
        <v>0.95</v>
      </c>
      <c r="I289" s="19"/>
      <c r="J289" s="19"/>
      <c r="K289" s="19"/>
      <c r="L289" s="19"/>
      <c r="M289" s="19"/>
      <c r="N289" s="19"/>
      <c r="O289" s="19"/>
      <c r="P289" s="19"/>
      <c r="Q289" s="19"/>
      <c r="R289" s="19"/>
      <c r="S289" s="19"/>
    </row>
    <row r="290" spans="1:19" ht="14" hidden="1" outlineLevel="1" x14ac:dyDescent="0.15">
      <c r="A290" s="19"/>
      <c r="B290" s="19" t="s">
        <v>241</v>
      </c>
      <c r="C290" s="100">
        <v>737</v>
      </c>
      <c r="D290" s="19" t="s">
        <v>384</v>
      </c>
      <c r="E290" s="19"/>
      <c r="F290" s="19"/>
      <c r="G290" s="19"/>
      <c r="H290" s="101">
        <v>1</v>
      </c>
      <c r="I290" s="19"/>
      <c r="J290" s="19"/>
      <c r="K290" s="19"/>
      <c r="L290" s="19"/>
      <c r="M290" s="19"/>
      <c r="N290" s="19"/>
      <c r="O290" s="19"/>
      <c r="P290" s="19"/>
      <c r="Q290" s="19"/>
      <c r="R290" s="19"/>
      <c r="S290" s="19"/>
    </row>
    <row r="291" spans="1:19" hidden="1" outlineLevel="1" x14ac:dyDescent="0.15">
      <c r="A291" s="19"/>
      <c r="B291" s="19" t="s">
        <v>244</v>
      </c>
      <c r="C291" s="100">
        <v>1472</v>
      </c>
      <c r="D291" s="19" t="s">
        <v>384</v>
      </c>
      <c r="E291" s="19"/>
      <c r="F291" s="19"/>
      <c r="G291" s="19"/>
      <c r="H291" s="19"/>
      <c r="I291" s="19"/>
      <c r="J291" s="19"/>
      <c r="K291" s="19"/>
      <c r="L291" s="19"/>
      <c r="M291" s="19"/>
      <c r="N291" s="19"/>
      <c r="O291" s="19"/>
      <c r="P291" s="19"/>
      <c r="Q291" s="19"/>
      <c r="R291" s="19"/>
      <c r="S291" s="19"/>
    </row>
    <row r="292" spans="1:19" hidden="1" outlineLevel="1" x14ac:dyDescent="0.15">
      <c r="A292" s="19"/>
      <c r="B292" s="19" t="s">
        <v>225</v>
      </c>
      <c r="C292" s="100">
        <v>794</v>
      </c>
      <c r="D292" s="19" t="s">
        <v>384</v>
      </c>
      <c r="E292" s="19"/>
      <c r="F292" s="19"/>
      <c r="G292" s="19"/>
      <c r="H292" s="19"/>
      <c r="I292" s="19"/>
      <c r="J292" s="19"/>
      <c r="K292" s="19"/>
      <c r="L292" s="19"/>
      <c r="M292" s="19"/>
      <c r="N292" s="19"/>
      <c r="O292" s="19"/>
      <c r="P292" s="19"/>
      <c r="Q292" s="19"/>
      <c r="R292" s="19"/>
      <c r="S292" s="19"/>
    </row>
    <row r="293" spans="1:19" hidden="1" outlineLevel="1" x14ac:dyDescent="0.15">
      <c r="A293" s="19"/>
      <c r="B293" s="19" t="s">
        <v>243</v>
      </c>
      <c r="C293" s="100">
        <v>699</v>
      </c>
      <c r="D293" s="19" t="s">
        <v>384</v>
      </c>
      <c r="E293" s="19"/>
      <c r="F293" s="19"/>
      <c r="G293" s="19"/>
      <c r="H293" s="19"/>
      <c r="I293" s="19"/>
      <c r="J293" s="19"/>
      <c r="K293" s="19"/>
      <c r="L293" s="19"/>
      <c r="M293" s="19"/>
      <c r="N293" s="19"/>
      <c r="O293" s="19"/>
      <c r="P293" s="19"/>
      <c r="Q293" s="19"/>
      <c r="R293" s="19"/>
      <c r="S293" s="19"/>
    </row>
    <row r="294" spans="1:19" hidden="1" outlineLevel="1" x14ac:dyDescent="0.15">
      <c r="A294" s="19"/>
      <c r="B294" s="19" t="s">
        <v>245</v>
      </c>
      <c r="C294" s="100">
        <v>820</v>
      </c>
      <c r="D294" s="19" t="s">
        <v>384</v>
      </c>
      <c r="E294" s="19"/>
      <c r="F294" s="19"/>
      <c r="G294" s="19"/>
      <c r="H294" s="19"/>
      <c r="I294" s="19"/>
      <c r="J294" s="19"/>
      <c r="K294" s="19"/>
      <c r="L294" s="19"/>
      <c r="M294" s="19"/>
      <c r="N294" s="19"/>
      <c r="O294" s="19"/>
      <c r="P294" s="19"/>
      <c r="Q294" s="19"/>
      <c r="R294" s="19"/>
      <c r="S294" s="19"/>
    </row>
    <row r="295" spans="1:19" hidden="1" outlineLevel="1" x14ac:dyDescent="0.15">
      <c r="A295" s="19"/>
      <c r="B295" s="19" t="s">
        <v>246</v>
      </c>
      <c r="C295" s="100">
        <v>785</v>
      </c>
      <c r="D295" s="19" t="s">
        <v>384</v>
      </c>
      <c r="E295" s="19"/>
      <c r="F295" s="19"/>
      <c r="G295" s="19"/>
      <c r="H295" s="19"/>
      <c r="I295" s="19"/>
      <c r="J295" s="19"/>
      <c r="K295" s="19"/>
      <c r="L295" s="19"/>
      <c r="M295" s="19"/>
      <c r="N295" s="19"/>
      <c r="O295" s="19"/>
      <c r="P295" s="19"/>
      <c r="Q295" s="19"/>
      <c r="R295" s="19"/>
      <c r="S295" s="19"/>
    </row>
    <row r="296" spans="1:19" hidden="1" outlineLevel="1" x14ac:dyDescent="0.15">
      <c r="A296" s="19"/>
      <c r="B296" s="19" t="s">
        <v>247</v>
      </c>
      <c r="C296" s="100">
        <v>580</v>
      </c>
      <c r="D296" s="19" t="s">
        <v>384</v>
      </c>
      <c r="E296" s="19"/>
      <c r="F296" s="19"/>
      <c r="G296" s="19"/>
      <c r="H296" s="19"/>
      <c r="I296" s="19"/>
      <c r="J296" s="19"/>
      <c r="K296" s="19"/>
      <c r="L296" s="19"/>
      <c r="M296" s="19"/>
      <c r="N296" s="19"/>
      <c r="O296" s="19"/>
      <c r="P296" s="19"/>
      <c r="Q296" s="19"/>
      <c r="R296" s="19"/>
      <c r="S296" s="19"/>
    </row>
    <row r="297" spans="1:19" hidden="1" outlineLevel="1" x14ac:dyDescent="0.15">
      <c r="A297" s="19"/>
      <c r="B297" s="19" t="s">
        <v>248</v>
      </c>
      <c r="C297" s="100">
        <v>500</v>
      </c>
      <c r="D297" s="19" t="s">
        <v>384</v>
      </c>
      <c r="E297" s="19"/>
      <c r="F297" s="19"/>
      <c r="G297" s="19"/>
      <c r="H297" s="19"/>
      <c r="I297" s="19"/>
      <c r="J297" s="19"/>
      <c r="K297" s="19"/>
      <c r="L297" s="19"/>
      <c r="M297" s="19"/>
      <c r="N297" s="19"/>
      <c r="O297" s="19"/>
      <c r="P297" s="19"/>
      <c r="Q297" s="19"/>
      <c r="R297" s="19"/>
      <c r="S297" s="19"/>
    </row>
    <row r="298" spans="1:19" hidden="1" outlineLevel="1" x14ac:dyDescent="0.15">
      <c r="A298" s="19"/>
      <c r="B298" s="19" t="s">
        <v>285</v>
      </c>
      <c r="C298" s="100">
        <v>1055</v>
      </c>
      <c r="D298" s="19" t="s">
        <v>384</v>
      </c>
      <c r="E298" s="19"/>
      <c r="F298" s="19"/>
      <c r="G298" s="19"/>
      <c r="H298" s="19"/>
      <c r="I298" s="19"/>
      <c r="J298" s="19"/>
      <c r="K298" s="19"/>
      <c r="L298" s="19"/>
      <c r="M298" s="19"/>
      <c r="N298" s="19"/>
      <c r="O298" s="19"/>
      <c r="P298" s="19"/>
      <c r="Q298" s="19"/>
      <c r="R298" s="19"/>
      <c r="S298" s="19"/>
    </row>
    <row r="299" spans="1:19" hidden="1" outlineLevel="1" x14ac:dyDescent="0.15">
      <c r="A299" s="19"/>
      <c r="B299" s="19" t="s">
        <v>282</v>
      </c>
      <c r="C299" s="100">
        <v>315</v>
      </c>
      <c r="D299" s="19" t="s">
        <v>384</v>
      </c>
      <c r="E299" s="19"/>
      <c r="F299" s="19"/>
      <c r="G299" s="19"/>
      <c r="H299" s="19"/>
      <c r="I299" s="19"/>
      <c r="J299" s="19"/>
      <c r="K299" s="19"/>
      <c r="L299" s="19"/>
      <c r="M299" s="19"/>
      <c r="N299" s="19"/>
      <c r="O299" s="19"/>
      <c r="P299" s="19"/>
      <c r="Q299" s="19"/>
      <c r="R299" s="19"/>
      <c r="S299" s="19"/>
    </row>
    <row r="300" spans="1:19" hidden="1" outlineLevel="1" x14ac:dyDescent="0.15">
      <c r="A300" s="19"/>
      <c r="B300" s="19" t="s">
        <v>283</v>
      </c>
      <c r="C300" s="100">
        <v>300</v>
      </c>
      <c r="D300" s="19" t="s">
        <v>384</v>
      </c>
      <c r="E300" s="19"/>
      <c r="F300" s="19"/>
      <c r="G300" s="19"/>
      <c r="H300" s="19"/>
      <c r="I300" s="19"/>
      <c r="J300" s="19"/>
      <c r="K300" s="19"/>
      <c r="L300" s="19"/>
      <c r="M300" s="19"/>
      <c r="N300" s="19"/>
      <c r="O300" s="19"/>
      <c r="P300" s="19"/>
      <c r="Q300" s="19"/>
      <c r="R300" s="19"/>
      <c r="S300" s="19"/>
    </row>
    <row r="301" spans="1:19" hidden="1" outlineLevel="1" x14ac:dyDescent="0.15">
      <c r="A301" s="19"/>
      <c r="B301" s="19" t="s">
        <v>274</v>
      </c>
      <c r="C301" s="100">
        <v>700</v>
      </c>
      <c r="D301" s="19" t="s">
        <v>384</v>
      </c>
      <c r="E301" s="19"/>
      <c r="F301" s="19"/>
      <c r="G301" s="19"/>
      <c r="H301" s="19"/>
      <c r="I301" s="19"/>
      <c r="J301" s="19"/>
      <c r="K301" s="19"/>
      <c r="L301" s="19"/>
      <c r="M301" s="19"/>
      <c r="N301" s="19"/>
      <c r="O301" s="19"/>
      <c r="P301" s="19"/>
      <c r="Q301" s="19"/>
      <c r="R301" s="19"/>
      <c r="S301" s="19"/>
    </row>
    <row r="302" spans="1:19" hidden="1" outlineLevel="1" x14ac:dyDescent="0.15">
      <c r="A302" s="19"/>
      <c r="B302" s="19" t="s">
        <v>267</v>
      </c>
      <c r="C302" s="100">
        <v>369</v>
      </c>
      <c r="D302" s="19" t="s">
        <v>384</v>
      </c>
      <c r="E302" s="19"/>
      <c r="F302" s="19"/>
      <c r="G302" s="19"/>
      <c r="H302" s="19"/>
      <c r="I302" s="19"/>
      <c r="J302" s="19"/>
      <c r="K302" s="19"/>
      <c r="L302" s="19"/>
      <c r="M302" s="19"/>
      <c r="N302" s="19"/>
      <c r="O302" s="19"/>
      <c r="P302" s="19"/>
      <c r="Q302" s="19"/>
      <c r="R302" s="19"/>
      <c r="S302" s="19"/>
    </row>
    <row r="303" spans="1:19" hidden="1" outlineLevel="1" x14ac:dyDescent="0.15">
      <c r="A303" s="19"/>
      <c r="B303" s="19" t="s">
        <v>279</v>
      </c>
      <c r="C303" s="100">
        <v>500</v>
      </c>
      <c r="D303" s="19" t="s">
        <v>384</v>
      </c>
      <c r="E303" s="19"/>
      <c r="F303" s="19"/>
      <c r="G303" s="19"/>
      <c r="H303" s="19"/>
      <c r="I303" s="19"/>
      <c r="J303" s="19"/>
      <c r="K303" s="19"/>
      <c r="L303" s="19"/>
      <c r="M303" s="19"/>
      <c r="N303" s="19"/>
      <c r="O303" s="19"/>
      <c r="P303" s="19"/>
      <c r="Q303" s="19"/>
      <c r="R303" s="19"/>
      <c r="S303" s="19"/>
    </row>
    <row r="304" spans="1:19" hidden="1" outlineLevel="1" x14ac:dyDescent="0.15">
      <c r="A304" s="19"/>
      <c r="B304" s="19" t="s">
        <v>269</v>
      </c>
      <c r="C304" s="100">
        <v>685</v>
      </c>
      <c r="D304" s="19" t="s">
        <v>384</v>
      </c>
      <c r="E304" s="19"/>
      <c r="F304" s="19"/>
      <c r="G304" s="19"/>
      <c r="H304" s="19"/>
      <c r="I304" s="19"/>
      <c r="J304" s="19"/>
      <c r="K304" s="19"/>
      <c r="L304" s="19"/>
      <c r="M304" s="19"/>
      <c r="N304" s="19"/>
      <c r="O304" s="19"/>
      <c r="P304" s="19"/>
      <c r="Q304" s="19"/>
      <c r="R304" s="19"/>
      <c r="S304" s="19"/>
    </row>
    <row r="305" spans="1:19" hidden="1" outlineLevel="1" x14ac:dyDescent="0.15">
      <c r="A305" s="19"/>
      <c r="B305" s="19" t="s">
        <v>275</v>
      </c>
      <c r="C305" s="100">
        <v>591</v>
      </c>
      <c r="D305" s="19" t="s">
        <v>384</v>
      </c>
      <c r="E305" s="19"/>
      <c r="F305" s="19"/>
      <c r="G305" s="19"/>
      <c r="H305" s="19"/>
      <c r="I305" s="19"/>
      <c r="J305" s="19"/>
      <c r="K305" s="19"/>
      <c r="L305" s="19"/>
      <c r="M305" s="19"/>
      <c r="N305" s="19"/>
      <c r="O305" s="19"/>
      <c r="P305" s="19"/>
      <c r="Q305" s="19"/>
      <c r="R305" s="19"/>
      <c r="S305" s="19"/>
    </row>
    <row r="306" spans="1:19" hidden="1" outlineLevel="1" x14ac:dyDescent="0.15">
      <c r="A306" s="19"/>
      <c r="B306" s="19" t="s">
        <v>284</v>
      </c>
      <c r="C306" s="100">
        <v>410</v>
      </c>
      <c r="D306" s="19" t="s">
        <v>384</v>
      </c>
      <c r="E306" s="19"/>
      <c r="F306" s="19"/>
      <c r="G306" s="19"/>
      <c r="H306" s="19"/>
      <c r="I306" s="19"/>
      <c r="J306" s="19"/>
      <c r="K306" s="19"/>
      <c r="L306" s="19"/>
      <c r="M306" s="19"/>
      <c r="N306" s="19"/>
      <c r="O306" s="19"/>
      <c r="P306" s="19"/>
      <c r="Q306" s="19"/>
      <c r="R306" s="19"/>
      <c r="S306" s="19"/>
    </row>
    <row r="307" spans="1:19" hidden="1" outlineLevel="1" x14ac:dyDescent="0.15">
      <c r="A307" s="19"/>
      <c r="B307" s="19" t="s">
        <v>272</v>
      </c>
      <c r="C307" s="100">
        <v>696</v>
      </c>
      <c r="D307" s="19" t="s">
        <v>384</v>
      </c>
      <c r="E307" s="19"/>
      <c r="F307" s="19"/>
      <c r="G307" s="19"/>
      <c r="H307" s="19"/>
      <c r="I307" s="19"/>
      <c r="J307" s="19"/>
      <c r="K307" s="19"/>
      <c r="L307" s="19"/>
      <c r="M307" s="19"/>
      <c r="N307" s="19"/>
      <c r="O307" s="19"/>
      <c r="P307" s="19"/>
      <c r="Q307" s="19"/>
      <c r="R307" s="19"/>
      <c r="S307" s="19"/>
    </row>
    <row r="308" spans="1:19" hidden="1" outlineLevel="1" x14ac:dyDescent="0.15">
      <c r="A308" s="19"/>
      <c r="B308" s="19" t="s">
        <v>270</v>
      </c>
      <c r="C308" s="100">
        <v>651</v>
      </c>
      <c r="D308" s="19" t="s">
        <v>384</v>
      </c>
      <c r="E308" s="19"/>
      <c r="F308" s="19"/>
      <c r="G308" s="19"/>
      <c r="H308" s="19"/>
      <c r="I308" s="19"/>
      <c r="J308" s="19"/>
      <c r="K308" s="19"/>
      <c r="L308" s="19"/>
      <c r="M308" s="19"/>
      <c r="N308" s="19"/>
      <c r="O308" s="19"/>
      <c r="P308" s="19"/>
      <c r="Q308" s="19"/>
      <c r="R308" s="19"/>
      <c r="S308" s="19"/>
    </row>
    <row r="309" spans="1:19" hidden="1" outlineLevel="1" x14ac:dyDescent="0.15">
      <c r="A309" s="19"/>
      <c r="B309" s="19" t="s">
        <v>273</v>
      </c>
      <c r="C309" s="100">
        <v>728</v>
      </c>
      <c r="D309" s="19" t="s">
        <v>384</v>
      </c>
      <c r="E309" s="19"/>
      <c r="F309" s="19"/>
      <c r="G309" s="19"/>
      <c r="H309" s="19"/>
      <c r="I309" s="19"/>
      <c r="J309" s="19"/>
      <c r="K309" s="19"/>
      <c r="L309" s="19"/>
      <c r="M309" s="19"/>
      <c r="N309" s="19"/>
      <c r="O309" s="19"/>
      <c r="P309" s="19"/>
      <c r="Q309" s="19"/>
      <c r="R309" s="19"/>
      <c r="S309" s="19"/>
    </row>
    <row r="310" spans="1:19" hidden="1" outlineLevel="1" x14ac:dyDescent="0.15">
      <c r="A310" s="19"/>
      <c r="B310" s="19" t="s">
        <v>271</v>
      </c>
      <c r="C310" s="100">
        <v>562</v>
      </c>
      <c r="D310" s="19" t="s">
        <v>384</v>
      </c>
      <c r="E310" s="19"/>
      <c r="F310" s="19"/>
      <c r="G310" s="19"/>
      <c r="H310" s="19"/>
      <c r="I310" s="19"/>
      <c r="J310" s="19"/>
      <c r="K310" s="19"/>
      <c r="L310" s="19"/>
      <c r="M310" s="19"/>
      <c r="N310" s="19"/>
      <c r="O310" s="19"/>
      <c r="P310" s="19"/>
      <c r="Q310" s="19"/>
      <c r="R310" s="19"/>
      <c r="S310" s="19"/>
    </row>
    <row r="311" spans="1:19" hidden="1" outlineLevel="1" x14ac:dyDescent="0.15">
      <c r="A311" s="19"/>
      <c r="B311" s="19" t="s">
        <v>290</v>
      </c>
      <c r="C311" s="100">
        <v>1050</v>
      </c>
      <c r="D311" s="19" t="s">
        <v>384</v>
      </c>
      <c r="E311" s="19"/>
      <c r="F311" s="19"/>
      <c r="G311" s="19"/>
      <c r="H311" s="19"/>
      <c r="I311" s="19"/>
      <c r="J311" s="19"/>
      <c r="K311" s="19"/>
      <c r="L311" s="19"/>
      <c r="M311" s="19"/>
      <c r="N311" s="19"/>
      <c r="O311" s="19"/>
      <c r="P311" s="19"/>
      <c r="Q311" s="19"/>
      <c r="R311" s="19"/>
      <c r="S311" s="19"/>
    </row>
    <row r="312" spans="1:19" hidden="1" outlineLevel="1" x14ac:dyDescent="0.15">
      <c r="A312" s="19"/>
      <c r="B312" s="19" t="s">
        <v>268</v>
      </c>
      <c r="C312" s="100">
        <v>544</v>
      </c>
      <c r="D312" s="19" t="s">
        <v>384</v>
      </c>
      <c r="E312" s="19"/>
      <c r="F312" s="19"/>
      <c r="G312" s="19"/>
      <c r="H312" s="19"/>
      <c r="I312" s="19"/>
      <c r="J312" s="19"/>
      <c r="K312" s="19"/>
      <c r="L312" s="19"/>
      <c r="M312" s="19"/>
      <c r="N312" s="19"/>
      <c r="O312" s="19"/>
      <c r="P312" s="19"/>
      <c r="Q312" s="19"/>
      <c r="R312" s="19"/>
      <c r="S312" s="19"/>
    </row>
    <row r="313" spans="1:19" hidden="1" outlineLevel="1" x14ac:dyDescent="0.15">
      <c r="A313" s="19"/>
      <c r="B313" s="19" t="s">
        <v>876</v>
      </c>
      <c r="C313" s="100">
        <v>700</v>
      </c>
      <c r="D313" s="19" t="s">
        <v>384</v>
      </c>
      <c r="E313" s="19"/>
      <c r="F313" s="19"/>
      <c r="G313" s="19"/>
      <c r="H313" s="19"/>
      <c r="I313" s="19"/>
      <c r="J313" s="19"/>
      <c r="K313" s="19"/>
      <c r="L313" s="19"/>
      <c r="M313" s="19"/>
      <c r="N313" s="19"/>
      <c r="O313" s="19"/>
      <c r="P313" s="19"/>
      <c r="Q313" s="19"/>
      <c r="R313" s="19"/>
      <c r="S313" s="19"/>
    </row>
    <row r="314" spans="1:19" hidden="1" outlineLevel="1" x14ac:dyDescent="0.15">
      <c r="A314" s="19"/>
      <c r="B314" s="19" t="s">
        <v>288</v>
      </c>
      <c r="C314" s="100">
        <v>1100</v>
      </c>
      <c r="D314" s="19" t="s">
        <v>384</v>
      </c>
      <c r="E314" s="19"/>
      <c r="F314" s="19"/>
      <c r="G314" s="19"/>
      <c r="H314" s="19"/>
      <c r="I314" s="19"/>
      <c r="J314" s="19"/>
      <c r="K314" s="19"/>
      <c r="L314" s="19"/>
      <c r="M314" s="19"/>
      <c r="N314" s="19"/>
      <c r="O314" s="19"/>
      <c r="P314" s="19"/>
      <c r="Q314" s="19"/>
      <c r="R314" s="19"/>
      <c r="S314" s="19"/>
    </row>
    <row r="315" spans="1:19" hidden="1" outlineLevel="1" x14ac:dyDescent="0.15">
      <c r="A315" s="19"/>
      <c r="B315" s="19" t="s">
        <v>292</v>
      </c>
      <c r="C315" s="100">
        <v>1530</v>
      </c>
      <c r="D315" s="19" t="s">
        <v>384</v>
      </c>
      <c r="E315" s="19"/>
      <c r="F315" s="19"/>
      <c r="G315" s="19"/>
      <c r="H315" s="19"/>
      <c r="I315" s="19"/>
      <c r="J315" s="19"/>
      <c r="K315" s="19"/>
      <c r="L315" s="19"/>
      <c r="M315" s="19"/>
      <c r="N315" s="19"/>
      <c r="O315" s="19"/>
      <c r="P315" s="19"/>
      <c r="Q315" s="19"/>
      <c r="R315" s="19"/>
      <c r="S315" s="19"/>
    </row>
    <row r="316" spans="1:19" hidden="1" outlineLevel="1" x14ac:dyDescent="0.15">
      <c r="A316" s="19"/>
      <c r="B316" s="19" t="s">
        <v>281</v>
      </c>
      <c r="C316" s="100">
        <v>340</v>
      </c>
      <c r="D316" s="19" t="s">
        <v>384</v>
      </c>
      <c r="E316" s="19"/>
      <c r="F316" s="19"/>
      <c r="G316" s="19"/>
      <c r="H316" s="19"/>
      <c r="I316" s="19"/>
      <c r="J316" s="19"/>
      <c r="K316" s="19"/>
      <c r="L316" s="19"/>
      <c r="M316" s="19"/>
      <c r="N316" s="19"/>
      <c r="O316" s="19"/>
      <c r="P316" s="19"/>
      <c r="Q316" s="19"/>
      <c r="R316" s="19"/>
      <c r="S316" s="19"/>
    </row>
    <row r="317" spans="1:19" hidden="1" outlineLevel="1" x14ac:dyDescent="0.15">
      <c r="A317" s="19"/>
      <c r="B317" s="19" t="s">
        <v>293</v>
      </c>
      <c r="C317" s="100">
        <v>2700</v>
      </c>
      <c r="D317" s="19" t="s">
        <v>384</v>
      </c>
      <c r="E317" s="19"/>
      <c r="F317" s="19"/>
      <c r="G317" s="19"/>
      <c r="H317" s="19"/>
      <c r="I317" s="19"/>
      <c r="J317" s="19"/>
      <c r="K317" s="19"/>
      <c r="L317" s="19"/>
      <c r="M317" s="19"/>
      <c r="N317" s="19"/>
      <c r="O317" s="19"/>
      <c r="P317" s="19"/>
      <c r="Q317" s="19"/>
      <c r="R317" s="19"/>
      <c r="S317" s="19"/>
    </row>
    <row r="318" spans="1:19" hidden="1" outlineLevel="1" x14ac:dyDescent="0.15">
      <c r="A318" s="19"/>
      <c r="B318" s="19" t="s">
        <v>257</v>
      </c>
      <c r="C318" s="100">
        <v>690</v>
      </c>
      <c r="D318" s="19" t="s">
        <v>384</v>
      </c>
      <c r="E318" s="19"/>
      <c r="F318" s="19"/>
      <c r="G318" s="19"/>
      <c r="H318" s="19"/>
      <c r="I318" s="19"/>
      <c r="J318" s="19"/>
      <c r="K318" s="19"/>
      <c r="L318" s="19"/>
      <c r="M318" s="19"/>
      <c r="N318" s="19"/>
      <c r="O318" s="19"/>
      <c r="P318" s="19"/>
      <c r="Q318" s="19"/>
      <c r="R318" s="19"/>
      <c r="S318" s="19"/>
    </row>
    <row r="319" spans="1:19" hidden="1" outlineLevel="1" x14ac:dyDescent="0.15">
      <c r="A319" s="19"/>
      <c r="B319" s="19" t="s">
        <v>255</v>
      </c>
      <c r="C319" s="100">
        <v>850</v>
      </c>
      <c r="D319" s="19" t="s">
        <v>384</v>
      </c>
      <c r="E319" s="19"/>
      <c r="F319" s="19"/>
      <c r="G319" s="19"/>
      <c r="H319" s="19"/>
      <c r="I319" s="19"/>
      <c r="J319" s="19"/>
      <c r="K319" s="19"/>
      <c r="L319" s="19"/>
      <c r="M319" s="19"/>
      <c r="N319" s="19"/>
      <c r="O319" s="19"/>
      <c r="P319" s="19"/>
      <c r="Q319" s="19"/>
      <c r="R319" s="19"/>
      <c r="S319" s="19"/>
    </row>
    <row r="320" spans="1:19" hidden="1" outlineLevel="1" x14ac:dyDescent="0.15">
      <c r="A320" s="19"/>
      <c r="B320" s="19" t="s">
        <v>289</v>
      </c>
      <c r="C320" s="100">
        <v>1158</v>
      </c>
      <c r="D320" s="19" t="s">
        <v>384</v>
      </c>
      <c r="E320" s="19"/>
      <c r="F320" s="19"/>
      <c r="G320" s="19"/>
      <c r="H320" s="19"/>
      <c r="I320" s="19"/>
      <c r="J320" s="19"/>
      <c r="K320" s="19"/>
      <c r="L320" s="19"/>
      <c r="M320" s="19"/>
      <c r="N320" s="19"/>
      <c r="O320" s="19"/>
      <c r="P320" s="19"/>
      <c r="Q320" s="19"/>
      <c r="R320" s="19"/>
      <c r="S320" s="19"/>
    </row>
    <row r="321" spans="1:19" hidden="1" outlineLevel="1" x14ac:dyDescent="0.15">
      <c r="A321" s="19"/>
      <c r="B321" s="19" t="s">
        <v>249</v>
      </c>
      <c r="C321" s="100">
        <v>630</v>
      </c>
      <c r="D321" s="19" t="s">
        <v>384</v>
      </c>
      <c r="E321" s="19"/>
      <c r="F321" s="19"/>
      <c r="G321" s="19"/>
      <c r="H321" s="19"/>
      <c r="I321" s="19"/>
      <c r="J321" s="19"/>
      <c r="K321" s="19"/>
      <c r="L321" s="19"/>
      <c r="M321" s="19"/>
      <c r="N321" s="19"/>
      <c r="O321" s="19"/>
      <c r="P321" s="19"/>
      <c r="Q321" s="19"/>
      <c r="R321" s="19"/>
      <c r="S321" s="19"/>
    </row>
    <row r="322" spans="1:19" hidden="1" outlineLevel="1" x14ac:dyDescent="0.15">
      <c r="A322" s="19"/>
      <c r="B322" s="19" t="s">
        <v>258</v>
      </c>
      <c r="C322" s="100">
        <v>700</v>
      </c>
      <c r="D322" s="19" t="s">
        <v>384</v>
      </c>
      <c r="E322" s="19"/>
      <c r="F322" s="19"/>
      <c r="G322" s="19"/>
      <c r="H322" s="19"/>
      <c r="I322" s="19"/>
      <c r="J322" s="19"/>
      <c r="K322" s="19"/>
      <c r="L322" s="19"/>
      <c r="M322" s="19"/>
      <c r="N322" s="19"/>
      <c r="O322" s="19"/>
      <c r="P322" s="19"/>
      <c r="Q322" s="19"/>
      <c r="R322" s="19"/>
      <c r="S322" s="19"/>
    </row>
    <row r="323" spans="1:19" hidden="1" outlineLevel="1" x14ac:dyDescent="0.15">
      <c r="A323" s="19"/>
      <c r="B323" s="19" t="s">
        <v>256</v>
      </c>
      <c r="C323" s="100">
        <v>705</v>
      </c>
      <c r="D323" s="19" t="s">
        <v>384</v>
      </c>
      <c r="E323" s="19"/>
      <c r="F323" s="19"/>
      <c r="G323" s="19"/>
      <c r="H323" s="19"/>
      <c r="I323" s="19"/>
      <c r="J323" s="19"/>
      <c r="K323" s="19"/>
      <c r="L323" s="19"/>
      <c r="M323" s="19"/>
      <c r="N323" s="19"/>
      <c r="O323" s="19"/>
      <c r="P323" s="19"/>
      <c r="Q323" s="19"/>
      <c r="R323" s="19"/>
      <c r="S323" s="19"/>
    </row>
    <row r="324" spans="1:19" hidden="1" outlineLevel="1" x14ac:dyDescent="0.15">
      <c r="A324" s="19"/>
      <c r="B324" s="19" t="s">
        <v>287</v>
      </c>
      <c r="C324" s="100">
        <v>1076</v>
      </c>
      <c r="D324" s="19" t="s">
        <v>384</v>
      </c>
      <c r="E324" s="19"/>
      <c r="F324" s="19"/>
      <c r="G324" s="19"/>
      <c r="H324" s="19"/>
      <c r="I324" s="19"/>
      <c r="J324" s="19"/>
      <c r="K324" s="19"/>
      <c r="L324" s="19"/>
      <c r="M324" s="19"/>
      <c r="N324" s="19"/>
      <c r="O324" s="19"/>
      <c r="P324" s="19"/>
      <c r="Q324" s="19"/>
      <c r="R324" s="19"/>
      <c r="S324" s="19"/>
    </row>
    <row r="325" spans="1:19" hidden="1" outlineLevel="1" x14ac:dyDescent="0.15">
      <c r="A325" s="19"/>
      <c r="B325" s="19" t="s">
        <v>280</v>
      </c>
      <c r="C325" s="100">
        <v>437</v>
      </c>
      <c r="D325" s="19" t="s">
        <v>384</v>
      </c>
      <c r="E325" s="19"/>
      <c r="F325" s="19"/>
      <c r="G325" s="19"/>
      <c r="H325" s="19"/>
      <c r="I325" s="19"/>
      <c r="J325" s="19"/>
      <c r="K325" s="19"/>
      <c r="L325" s="19"/>
      <c r="M325" s="19"/>
      <c r="N325" s="19"/>
      <c r="O325" s="19"/>
      <c r="P325" s="19"/>
      <c r="Q325" s="19"/>
      <c r="R325" s="19"/>
      <c r="S325" s="19"/>
    </row>
    <row r="326" spans="1:19" hidden="1" outlineLevel="1" x14ac:dyDescent="0.15">
      <c r="A326" s="19"/>
      <c r="B326" s="19" t="s">
        <v>280</v>
      </c>
      <c r="C326" s="100">
        <v>437</v>
      </c>
      <c r="D326" s="19" t="s">
        <v>384</v>
      </c>
      <c r="E326" s="19"/>
      <c r="F326" s="19"/>
      <c r="G326" s="19"/>
      <c r="H326" s="19"/>
      <c r="I326" s="19"/>
      <c r="J326" s="19"/>
      <c r="K326" s="19"/>
      <c r="L326" s="19"/>
      <c r="M326" s="19"/>
      <c r="N326" s="19"/>
      <c r="O326" s="19"/>
      <c r="P326" s="19"/>
      <c r="Q326" s="19"/>
      <c r="R326" s="19"/>
      <c r="S326" s="19"/>
    </row>
    <row r="327" spans="1:19" hidden="1" outlineLevel="1" x14ac:dyDescent="0.15">
      <c r="A327" s="19"/>
      <c r="B327" s="19" t="s">
        <v>261</v>
      </c>
      <c r="C327" s="100">
        <v>500</v>
      </c>
      <c r="D327" s="19" t="s">
        <v>384</v>
      </c>
      <c r="E327" s="19"/>
      <c r="F327" s="19"/>
      <c r="G327" s="19"/>
      <c r="H327" s="19"/>
      <c r="I327" s="19"/>
      <c r="J327" s="19"/>
      <c r="K327" s="19"/>
      <c r="L327" s="19"/>
      <c r="M327" s="19"/>
      <c r="N327" s="19"/>
      <c r="O327" s="19"/>
      <c r="P327" s="19"/>
      <c r="Q327" s="19"/>
      <c r="R327" s="19"/>
      <c r="S327" s="19"/>
    </row>
    <row r="328" spans="1:19" hidden="1" outlineLevel="1" x14ac:dyDescent="0.15">
      <c r="A328" s="19"/>
      <c r="B328" s="19" t="s">
        <v>263</v>
      </c>
      <c r="C328" s="100">
        <v>635</v>
      </c>
      <c r="D328" s="19" t="s">
        <v>384</v>
      </c>
      <c r="E328" s="19"/>
      <c r="F328" s="19"/>
      <c r="G328" s="19"/>
      <c r="H328" s="19"/>
      <c r="I328" s="19"/>
      <c r="J328" s="19"/>
      <c r="K328" s="19"/>
      <c r="L328" s="19"/>
      <c r="M328" s="19"/>
      <c r="N328" s="19"/>
      <c r="O328" s="19"/>
      <c r="P328" s="19"/>
      <c r="Q328" s="19"/>
      <c r="R328" s="19"/>
      <c r="S328" s="19"/>
    </row>
    <row r="329" spans="1:19" hidden="1" outlineLevel="1" x14ac:dyDescent="0.15">
      <c r="A329" s="19"/>
      <c r="B329" s="19" t="s">
        <v>254</v>
      </c>
      <c r="C329" s="100">
        <v>870</v>
      </c>
      <c r="D329" s="19" t="s">
        <v>384</v>
      </c>
      <c r="E329" s="19"/>
      <c r="F329" s="19"/>
      <c r="G329" s="19"/>
      <c r="H329" s="19"/>
      <c r="I329" s="19"/>
      <c r="J329" s="19"/>
      <c r="K329" s="19"/>
      <c r="L329" s="19"/>
      <c r="M329" s="19"/>
      <c r="N329" s="19"/>
      <c r="O329" s="19"/>
      <c r="P329" s="19"/>
      <c r="Q329" s="19"/>
      <c r="R329" s="19"/>
      <c r="S329" s="19"/>
    </row>
    <row r="330" spans="1:19" hidden="1" outlineLevel="1" x14ac:dyDescent="0.15">
      <c r="A330" s="19"/>
      <c r="B330" s="19" t="s">
        <v>253</v>
      </c>
      <c r="C330" s="100">
        <v>635</v>
      </c>
      <c r="D330" s="19" t="s">
        <v>384</v>
      </c>
      <c r="E330" s="19"/>
      <c r="F330" s="19"/>
      <c r="G330" s="19"/>
      <c r="H330" s="19"/>
      <c r="I330" s="19"/>
      <c r="J330" s="19"/>
      <c r="K330" s="19"/>
      <c r="L330" s="19"/>
      <c r="M330" s="19"/>
      <c r="N330" s="19"/>
      <c r="O330" s="19"/>
      <c r="P330" s="19"/>
      <c r="Q330" s="19"/>
      <c r="R330" s="19"/>
      <c r="S330" s="19"/>
    </row>
    <row r="331" spans="1:19" hidden="1" outlineLevel="1" x14ac:dyDescent="0.15">
      <c r="A331" s="19"/>
      <c r="B331" s="19" t="s">
        <v>260</v>
      </c>
      <c r="C331" s="100">
        <v>530</v>
      </c>
      <c r="D331" s="19" t="s">
        <v>384</v>
      </c>
      <c r="E331" s="19"/>
      <c r="F331" s="19"/>
      <c r="G331" s="19"/>
      <c r="H331" s="19"/>
      <c r="I331" s="19"/>
      <c r="J331" s="19"/>
      <c r="K331" s="19"/>
      <c r="L331" s="19"/>
      <c r="M331" s="19"/>
      <c r="N331" s="19"/>
      <c r="O331" s="19"/>
      <c r="P331" s="19"/>
      <c r="Q331" s="19"/>
      <c r="R331" s="19"/>
      <c r="S331" s="19"/>
    </row>
    <row r="332" spans="1:19" hidden="1" outlineLevel="1" x14ac:dyDescent="0.15">
      <c r="A332" s="19"/>
      <c r="B332" s="19" t="s">
        <v>262</v>
      </c>
      <c r="C332" s="100">
        <v>637</v>
      </c>
      <c r="D332" s="19" t="s">
        <v>384</v>
      </c>
      <c r="E332" s="19"/>
      <c r="F332" s="19"/>
      <c r="G332" s="19"/>
      <c r="H332" s="19"/>
      <c r="I332" s="19"/>
      <c r="J332" s="19"/>
      <c r="K332" s="19"/>
      <c r="L332" s="19"/>
      <c r="M332" s="19"/>
      <c r="N332" s="19"/>
      <c r="O332" s="19"/>
      <c r="P332" s="19"/>
      <c r="Q332" s="19"/>
      <c r="R332" s="19"/>
      <c r="S332" s="19"/>
    </row>
    <row r="333" spans="1:19" hidden="1" outlineLevel="1" x14ac:dyDescent="0.15">
      <c r="A333" s="19"/>
      <c r="B333" s="19" t="s">
        <v>250</v>
      </c>
      <c r="C333" s="100">
        <v>637</v>
      </c>
      <c r="D333" s="19" t="s">
        <v>384</v>
      </c>
      <c r="E333" s="19"/>
      <c r="F333" s="19"/>
      <c r="G333" s="19"/>
      <c r="H333" s="19"/>
      <c r="I333" s="19"/>
      <c r="J333" s="19"/>
      <c r="K333" s="19"/>
      <c r="L333" s="19"/>
      <c r="M333" s="19"/>
      <c r="N333" s="19"/>
      <c r="O333" s="19"/>
      <c r="P333" s="19"/>
      <c r="Q333" s="19"/>
      <c r="R333" s="19"/>
      <c r="S333" s="19"/>
    </row>
    <row r="334" spans="1:19" hidden="1" outlineLevel="1" x14ac:dyDescent="0.15">
      <c r="A334" s="19"/>
      <c r="B334" s="19" t="s">
        <v>291</v>
      </c>
      <c r="C334" s="100">
        <v>1170</v>
      </c>
      <c r="D334" s="19" t="s">
        <v>384</v>
      </c>
      <c r="E334" s="19"/>
      <c r="F334" s="19"/>
      <c r="G334" s="19"/>
      <c r="H334" s="19"/>
      <c r="I334" s="19"/>
      <c r="J334" s="19"/>
      <c r="K334" s="19"/>
      <c r="L334" s="19"/>
      <c r="M334" s="19"/>
      <c r="N334" s="19"/>
      <c r="O334" s="19"/>
      <c r="P334" s="19"/>
      <c r="Q334" s="19"/>
      <c r="R334" s="19"/>
      <c r="S334" s="19"/>
    </row>
    <row r="335" spans="1:19" hidden="1" outlineLevel="1" x14ac:dyDescent="0.15">
      <c r="A335" s="19"/>
      <c r="B335" s="19" t="s">
        <v>252</v>
      </c>
      <c r="C335" s="100">
        <v>595</v>
      </c>
      <c r="D335" s="19" t="s">
        <v>384</v>
      </c>
      <c r="E335" s="19"/>
      <c r="F335" s="19"/>
      <c r="G335" s="19"/>
      <c r="H335" s="19"/>
      <c r="I335" s="19"/>
      <c r="J335" s="19"/>
      <c r="K335" s="19"/>
      <c r="L335" s="19"/>
      <c r="M335" s="19"/>
      <c r="N335" s="19"/>
      <c r="O335" s="19"/>
      <c r="P335" s="19"/>
      <c r="Q335" s="19"/>
      <c r="R335" s="19"/>
      <c r="S335" s="19"/>
    </row>
    <row r="336" spans="1:19" hidden="1" outlineLevel="1" x14ac:dyDescent="0.15">
      <c r="A336" s="19"/>
      <c r="B336" s="19" t="s">
        <v>264</v>
      </c>
      <c r="C336" s="100">
        <v>485</v>
      </c>
      <c r="D336" s="19" t="s">
        <v>384</v>
      </c>
      <c r="E336" s="19"/>
      <c r="F336" s="19"/>
      <c r="G336" s="19"/>
      <c r="H336" s="19"/>
      <c r="I336" s="19"/>
      <c r="J336" s="19"/>
      <c r="K336" s="19"/>
      <c r="L336" s="19"/>
      <c r="M336" s="19"/>
      <c r="N336" s="19"/>
      <c r="O336" s="19"/>
      <c r="P336" s="19"/>
      <c r="Q336" s="19"/>
      <c r="R336" s="19"/>
      <c r="S336" s="19"/>
    </row>
    <row r="337" spans="1:20" hidden="1" outlineLevel="1" x14ac:dyDescent="0.15">
      <c r="A337" s="19"/>
      <c r="B337" s="19" t="s">
        <v>265</v>
      </c>
      <c r="C337" s="100">
        <v>513</v>
      </c>
      <c r="D337" s="19" t="s">
        <v>384</v>
      </c>
      <c r="E337" s="19"/>
      <c r="F337" s="19"/>
      <c r="G337" s="19"/>
      <c r="H337" s="19"/>
      <c r="I337" s="19"/>
      <c r="J337" s="19"/>
      <c r="K337" s="19"/>
      <c r="L337" s="19"/>
      <c r="M337" s="19"/>
      <c r="N337" s="19"/>
      <c r="O337" s="19"/>
      <c r="P337" s="19"/>
      <c r="Q337" s="19"/>
      <c r="R337" s="19"/>
      <c r="S337" s="19"/>
    </row>
    <row r="338" spans="1:20" hidden="1" outlineLevel="1" x14ac:dyDescent="0.15">
      <c r="A338" s="19"/>
      <c r="B338" s="19" t="s">
        <v>251</v>
      </c>
      <c r="C338" s="100">
        <v>468</v>
      </c>
      <c r="D338" s="19" t="s">
        <v>384</v>
      </c>
      <c r="E338" s="19"/>
      <c r="F338" s="19"/>
      <c r="G338" s="19"/>
      <c r="H338" s="19"/>
      <c r="I338" s="19"/>
      <c r="J338" s="19"/>
      <c r="K338" s="19"/>
      <c r="L338" s="19"/>
      <c r="M338" s="19"/>
      <c r="N338" s="19"/>
      <c r="O338" s="19"/>
      <c r="P338" s="19"/>
      <c r="Q338" s="19"/>
      <c r="R338" s="19"/>
      <c r="S338" s="19"/>
    </row>
    <row r="339" spans="1:20" hidden="1" outlineLevel="1" x14ac:dyDescent="0.15">
      <c r="A339" s="19"/>
      <c r="B339" s="19" t="s">
        <v>259</v>
      </c>
      <c r="C339" s="100">
        <v>468</v>
      </c>
      <c r="D339" s="19" t="s">
        <v>384</v>
      </c>
      <c r="E339" s="19"/>
      <c r="F339" s="19"/>
      <c r="G339" s="19"/>
      <c r="H339" s="19"/>
      <c r="I339" s="19"/>
      <c r="J339" s="19"/>
      <c r="K339" s="19"/>
      <c r="L339" s="19"/>
      <c r="M339" s="19"/>
      <c r="N339" s="19"/>
      <c r="O339" s="19"/>
      <c r="P339" s="19"/>
      <c r="Q339" s="19"/>
      <c r="R339" s="19"/>
      <c r="S339" s="19"/>
    </row>
    <row r="340" spans="1:20" hidden="1" outlineLevel="1" x14ac:dyDescent="0.15">
      <c r="A340" s="19"/>
      <c r="B340" s="19" t="s">
        <v>286</v>
      </c>
      <c r="C340" s="100">
        <v>1280</v>
      </c>
      <c r="D340" s="19" t="s">
        <v>384</v>
      </c>
      <c r="E340" s="19"/>
      <c r="F340" s="19"/>
      <c r="G340" s="19"/>
      <c r="H340" s="19"/>
      <c r="I340" s="19"/>
      <c r="J340" s="19"/>
      <c r="K340" s="19"/>
      <c r="L340" s="19"/>
      <c r="M340" s="19"/>
      <c r="N340" s="19"/>
      <c r="O340" s="19"/>
      <c r="P340" s="19"/>
      <c r="Q340" s="19"/>
      <c r="R340" s="19"/>
      <c r="S340" s="19"/>
    </row>
    <row r="341" spans="1:20" hidden="1" outlineLevel="1" x14ac:dyDescent="0.15">
      <c r="A341" s="19"/>
      <c r="B341" s="19" t="s">
        <v>278</v>
      </c>
      <c r="C341" s="100">
        <v>450</v>
      </c>
      <c r="D341" s="19" t="s">
        <v>384</v>
      </c>
      <c r="E341" s="19"/>
      <c r="F341" s="19"/>
      <c r="G341" s="19"/>
      <c r="H341" s="19"/>
      <c r="I341" s="19"/>
      <c r="J341" s="19"/>
      <c r="K341" s="19"/>
      <c r="L341" s="19"/>
      <c r="M341" s="19"/>
      <c r="N341" s="19"/>
      <c r="O341" s="19"/>
      <c r="P341" s="19"/>
      <c r="Q341" s="19"/>
      <c r="R341" s="19"/>
      <c r="S341" s="19"/>
    </row>
    <row r="342" spans="1:20" hidden="1" outlineLevel="1" x14ac:dyDescent="0.15">
      <c r="A342" s="19"/>
      <c r="B342" s="19" t="s">
        <v>276</v>
      </c>
      <c r="C342" s="100">
        <v>450</v>
      </c>
      <c r="D342" s="19" t="s">
        <v>384</v>
      </c>
      <c r="E342" s="19"/>
      <c r="F342" s="19"/>
      <c r="G342" s="19"/>
      <c r="H342" s="19"/>
      <c r="I342" s="19"/>
      <c r="J342" s="19"/>
      <c r="K342" s="19"/>
      <c r="L342" s="19"/>
      <c r="M342" s="19"/>
      <c r="N342" s="19"/>
      <c r="O342" s="19"/>
      <c r="P342" s="19"/>
      <c r="Q342" s="19"/>
      <c r="R342" s="19"/>
      <c r="S342" s="19"/>
    </row>
    <row r="343" spans="1:20" hidden="1" outlineLevel="1" x14ac:dyDescent="0.15">
      <c r="A343" s="19"/>
      <c r="B343" s="19" t="s">
        <v>277</v>
      </c>
      <c r="C343" s="100">
        <v>532</v>
      </c>
      <c r="D343" s="19" t="s">
        <v>384</v>
      </c>
      <c r="E343" s="19"/>
      <c r="F343" s="19"/>
      <c r="G343" s="19"/>
      <c r="H343" s="19"/>
      <c r="I343" s="19"/>
      <c r="J343" s="19"/>
      <c r="K343" s="19"/>
      <c r="L343" s="19"/>
      <c r="M343" s="19"/>
      <c r="N343" s="19"/>
      <c r="O343" s="19"/>
      <c r="P343" s="19"/>
      <c r="Q343" s="19"/>
      <c r="R343" s="19"/>
      <c r="S343" s="19"/>
    </row>
    <row r="344" spans="1:20" hidden="1" outlineLevel="1" x14ac:dyDescent="0.15">
      <c r="A344" s="19"/>
      <c r="B344" s="19" t="s">
        <v>266</v>
      </c>
      <c r="C344" s="100">
        <v>907</v>
      </c>
      <c r="D344" s="19" t="s">
        <v>384</v>
      </c>
      <c r="E344" s="19"/>
      <c r="F344" s="19"/>
      <c r="G344" s="19"/>
      <c r="H344" s="19"/>
      <c r="I344" s="19"/>
      <c r="J344" s="19"/>
      <c r="K344" s="19"/>
      <c r="L344" s="19"/>
      <c r="M344" s="19"/>
      <c r="N344" s="19"/>
      <c r="O344" s="19"/>
      <c r="P344" s="19"/>
      <c r="Q344" s="19"/>
      <c r="R344" s="19"/>
      <c r="S344" s="19"/>
    </row>
    <row r="345" spans="1:20" ht="14" hidden="1" outlineLevel="1" x14ac:dyDescent="0.15">
      <c r="A345" s="19"/>
      <c r="B345" s="73" t="s">
        <v>379</v>
      </c>
      <c r="C345" s="102">
        <f>AVERAGE(C270:C281,C283:C290,C293:C297,C301:C305,C307:C310,C312:C313,C318:C319,C321:C323,C327:C333,C335:C339,C341:C344)</f>
        <v>595.28070175438597</v>
      </c>
      <c r="D345" s="19"/>
      <c r="E345" s="19"/>
      <c r="F345" s="19"/>
      <c r="G345" s="19"/>
      <c r="H345" s="19"/>
      <c r="I345" s="19"/>
      <c r="J345" s="19"/>
      <c r="K345" s="19"/>
      <c r="L345" s="19"/>
      <c r="M345" s="19"/>
      <c r="N345" s="19"/>
      <c r="O345" s="19"/>
      <c r="P345" s="19"/>
      <c r="Q345" s="19"/>
      <c r="R345" s="19"/>
      <c r="S345" s="19"/>
    </row>
    <row r="346" spans="1:20" hidden="1" outlineLevel="1" x14ac:dyDescent="0.15">
      <c r="A346" s="19"/>
      <c r="B346" s="19"/>
      <c r="C346" s="19"/>
      <c r="D346" s="19"/>
      <c r="E346" s="19"/>
      <c r="F346" s="19"/>
      <c r="G346" s="19"/>
      <c r="H346" s="19"/>
      <c r="I346" s="19"/>
      <c r="J346" s="19"/>
      <c r="K346" s="19"/>
      <c r="L346" s="19"/>
      <c r="M346" s="19"/>
      <c r="N346" s="19"/>
      <c r="O346" s="19"/>
      <c r="P346" s="19"/>
      <c r="Q346" s="19"/>
      <c r="R346" s="19"/>
      <c r="S346" s="19"/>
    </row>
    <row r="347" spans="1:20" hidden="1" outlineLevel="1" x14ac:dyDescent="0.15">
      <c r="A347" s="19"/>
      <c r="B347" s="67" t="s">
        <v>383</v>
      </c>
      <c r="C347" s="67"/>
      <c r="D347" s="68"/>
      <c r="E347" s="68"/>
      <c r="F347" s="68"/>
      <c r="G347" s="68"/>
      <c r="H347" s="68"/>
      <c r="I347" s="68"/>
      <c r="J347" s="68"/>
      <c r="K347" s="68"/>
      <c r="L347" s="68"/>
      <c r="M347" s="68"/>
      <c r="N347" s="68"/>
      <c r="O347" s="68"/>
      <c r="P347" s="68"/>
      <c r="Q347" s="19"/>
      <c r="R347" s="19"/>
      <c r="S347" s="19"/>
      <c r="T347" s="19"/>
    </row>
    <row r="348" spans="1:20" hidden="1" outlineLevel="1" x14ac:dyDescent="0.15">
      <c r="A348" s="19"/>
      <c r="B348" s="67"/>
      <c r="C348" s="67"/>
      <c r="D348" s="68"/>
      <c r="E348" s="68"/>
      <c r="F348" s="68"/>
      <c r="G348" s="68"/>
      <c r="H348" s="68"/>
      <c r="I348" s="68"/>
      <c r="J348" s="68"/>
      <c r="K348" s="68"/>
      <c r="L348" s="68"/>
      <c r="M348" s="68"/>
      <c r="N348" s="68"/>
      <c r="O348" s="68"/>
      <c r="P348" s="68"/>
      <c r="Q348" s="19"/>
      <c r="R348" s="19"/>
      <c r="S348" s="19"/>
      <c r="T348" s="19"/>
    </row>
    <row r="349" spans="1:20" ht="14" hidden="1" outlineLevel="1" x14ac:dyDescent="0.15">
      <c r="A349" s="19"/>
      <c r="B349" s="19"/>
      <c r="C349" s="19"/>
      <c r="D349" s="19"/>
      <c r="E349" s="27"/>
      <c r="F349" s="19"/>
      <c r="G349" s="19"/>
      <c r="H349" s="19"/>
      <c r="I349" s="19"/>
      <c r="J349" s="19"/>
      <c r="K349" s="19"/>
      <c r="L349" s="19"/>
      <c r="M349" s="19"/>
      <c r="N349" s="19"/>
      <c r="O349" s="19"/>
      <c r="P349" s="19"/>
      <c r="Q349" s="19"/>
      <c r="R349" s="19"/>
      <c r="S349" s="19"/>
    </row>
    <row r="350" spans="1:20" ht="14" hidden="1" outlineLevel="1" x14ac:dyDescent="0.15">
      <c r="A350" s="19"/>
      <c r="B350" s="94" t="s">
        <v>390</v>
      </c>
      <c r="C350" s="73"/>
      <c r="D350" s="73"/>
      <c r="E350" s="73"/>
      <c r="F350" s="19"/>
      <c r="G350" s="19"/>
      <c r="H350" s="19"/>
      <c r="I350" s="19"/>
      <c r="J350" s="19"/>
      <c r="K350" s="19"/>
      <c r="L350" s="19"/>
      <c r="M350" s="19"/>
      <c r="N350" s="19"/>
      <c r="O350" s="19"/>
      <c r="P350" s="19"/>
      <c r="Q350" s="19"/>
      <c r="R350" s="19"/>
      <c r="S350" s="19"/>
      <c r="T350" s="19"/>
    </row>
    <row r="351" spans="1:20" ht="28" hidden="1" outlineLevel="1" x14ac:dyDescent="0.15">
      <c r="A351" s="19"/>
      <c r="B351" s="35" t="s">
        <v>371</v>
      </c>
      <c r="C351" s="73" t="s">
        <v>385</v>
      </c>
      <c r="D351" s="73" t="s">
        <v>125</v>
      </c>
      <c r="E351" s="73"/>
      <c r="F351" s="19"/>
      <c r="G351" s="19"/>
      <c r="H351" s="19"/>
      <c r="I351" s="19" t="s">
        <v>393</v>
      </c>
      <c r="J351" s="19"/>
      <c r="K351" s="19"/>
      <c r="L351" s="19"/>
      <c r="M351" s="19"/>
      <c r="N351" s="19"/>
      <c r="O351" s="19"/>
      <c r="P351" s="19"/>
      <c r="Q351" s="19"/>
      <c r="R351" s="19"/>
      <c r="S351" s="19"/>
      <c r="T351" s="19"/>
    </row>
    <row r="352" spans="1:20" hidden="1" outlineLevel="1" x14ac:dyDescent="0.15">
      <c r="A352" s="19"/>
      <c r="B352" s="19" t="s">
        <v>219</v>
      </c>
      <c r="C352" s="276">
        <v>250</v>
      </c>
      <c r="D352" s="35" t="s">
        <v>352</v>
      </c>
      <c r="E352" s="73"/>
      <c r="F352" s="19"/>
      <c r="G352" s="19"/>
      <c r="H352" s="19"/>
      <c r="I352" s="21" t="s">
        <v>397</v>
      </c>
      <c r="J352" s="19"/>
      <c r="K352" s="19"/>
      <c r="L352" s="19"/>
      <c r="M352" s="19"/>
      <c r="N352" s="19"/>
      <c r="O352" s="19"/>
      <c r="P352" s="19"/>
      <c r="Q352" s="19"/>
      <c r="R352" s="19"/>
      <c r="S352" s="19"/>
      <c r="T352" s="19"/>
    </row>
    <row r="353" spans="1:20" hidden="1" outlineLevel="1" x14ac:dyDescent="0.15">
      <c r="A353" s="19"/>
      <c r="B353" s="19" t="s">
        <v>220</v>
      </c>
      <c r="C353" s="276">
        <v>2000</v>
      </c>
      <c r="D353" s="35" t="s">
        <v>349</v>
      </c>
      <c r="E353" s="73"/>
      <c r="F353" s="19"/>
      <c r="G353" s="19"/>
      <c r="H353" s="19"/>
      <c r="I353" s="21" t="s">
        <v>396</v>
      </c>
      <c r="J353" s="19"/>
      <c r="K353" s="19"/>
      <c r="L353" s="19"/>
      <c r="M353" s="19"/>
      <c r="N353" s="19"/>
      <c r="O353" s="19"/>
      <c r="P353" s="19"/>
      <c r="Q353" s="19"/>
      <c r="R353" s="19"/>
      <c r="S353" s="19"/>
      <c r="T353" s="19"/>
    </row>
    <row r="354" spans="1:20" hidden="1" outlineLevel="1" x14ac:dyDescent="0.15">
      <c r="A354" s="19"/>
      <c r="B354" s="19" t="s">
        <v>221</v>
      </c>
      <c r="C354" s="276">
        <v>2800</v>
      </c>
      <c r="D354" s="35" t="s">
        <v>350</v>
      </c>
      <c r="E354" s="73"/>
      <c r="F354" s="19"/>
      <c r="G354" s="19"/>
      <c r="H354" s="19"/>
      <c r="I354" s="21" t="s">
        <v>333</v>
      </c>
      <c r="J354" s="19"/>
      <c r="K354" s="19"/>
      <c r="L354" s="19"/>
      <c r="M354" s="19"/>
      <c r="N354" s="19"/>
      <c r="O354" s="19"/>
      <c r="P354" s="19"/>
      <c r="Q354" s="19"/>
      <c r="R354" s="19"/>
      <c r="S354" s="19"/>
      <c r="T354" s="19"/>
    </row>
    <row r="355" spans="1:20" hidden="1" outlineLevel="1" x14ac:dyDescent="0.15">
      <c r="A355" s="19"/>
      <c r="B355" s="19" t="s">
        <v>222</v>
      </c>
      <c r="C355" s="276">
        <v>3000</v>
      </c>
      <c r="D355" s="35" t="s">
        <v>351</v>
      </c>
      <c r="E355" s="73"/>
      <c r="F355" s="19"/>
      <c r="G355" s="19"/>
      <c r="H355" s="19"/>
      <c r="I355" s="21" t="s">
        <v>394</v>
      </c>
      <c r="J355" s="19"/>
      <c r="K355" s="19"/>
      <c r="L355" s="19"/>
      <c r="M355" s="19"/>
      <c r="N355" s="19"/>
      <c r="O355" s="19"/>
      <c r="P355" s="19"/>
      <c r="Q355" s="19"/>
      <c r="R355" s="19"/>
      <c r="S355" s="19"/>
      <c r="T355" s="19"/>
    </row>
    <row r="356" spans="1:20" hidden="1" outlineLevel="1" x14ac:dyDescent="0.15">
      <c r="A356" s="19"/>
      <c r="B356" s="19" t="s">
        <v>300</v>
      </c>
      <c r="C356" s="276">
        <v>6000</v>
      </c>
      <c r="D356" s="35" t="s">
        <v>353</v>
      </c>
      <c r="E356" s="73"/>
      <c r="F356" s="19"/>
      <c r="G356" s="19"/>
      <c r="H356" s="19"/>
      <c r="I356" s="21" t="s">
        <v>395</v>
      </c>
      <c r="J356" s="19"/>
      <c r="K356" s="19"/>
      <c r="L356" s="19"/>
      <c r="M356" s="19"/>
      <c r="N356" s="19"/>
      <c r="O356" s="19"/>
      <c r="P356" s="19"/>
      <c r="Q356" s="19"/>
      <c r="R356" s="19"/>
      <c r="S356" s="19"/>
      <c r="T356" s="19"/>
    </row>
    <row r="357" spans="1:20" hidden="1" outlineLevel="1" x14ac:dyDescent="0.15">
      <c r="A357" s="19"/>
      <c r="B357" s="19" t="s">
        <v>331</v>
      </c>
      <c r="C357" s="276">
        <v>8800</v>
      </c>
      <c r="D357" s="35" t="s">
        <v>372</v>
      </c>
      <c r="E357" s="73"/>
      <c r="F357" s="19"/>
      <c r="G357" s="19"/>
      <c r="H357" s="19"/>
      <c r="I357" s="19"/>
      <c r="J357" s="19"/>
      <c r="K357" s="19"/>
      <c r="L357" s="19"/>
      <c r="M357" s="19"/>
      <c r="N357" s="19"/>
      <c r="O357" s="19"/>
      <c r="P357" s="19"/>
      <c r="Q357" s="19"/>
      <c r="R357" s="19"/>
      <c r="S357" s="19"/>
      <c r="T357" s="19"/>
    </row>
    <row r="358" spans="1:20" hidden="1" outlineLevel="1" x14ac:dyDescent="0.15">
      <c r="A358" s="19"/>
      <c r="B358" s="19" t="s">
        <v>332</v>
      </c>
      <c r="C358" s="103">
        <f>AVERAGE(C352:C357)</f>
        <v>3808.3333333333335</v>
      </c>
      <c r="D358" s="35" t="s">
        <v>392</v>
      </c>
      <c r="E358" s="73"/>
      <c r="F358" s="19"/>
      <c r="G358" s="19"/>
      <c r="H358" s="19"/>
      <c r="I358" s="19"/>
      <c r="J358" s="19"/>
      <c r="K358" s="19"/>
      <c r="L358" s="19"/>
      <c r="M358" s="19"/>
      <c r="N358" s="19"/>
      <c r="O358" s="19"/>
      <c r="P358" s="19"/>
      <c r="Q358" s="19"/>
      <c r="R358" s="19"/>
      <c r="S358" s="19"/>
      <c r="T358" s="19"/>
    </row>
    <row r="359" spans="1:20" hidden="1" outlineLevel="1" x14ac:dyDescent="0.15">
      <c r="A359" s="19"/>
      <c r="B359" s="76" t="s">
        <v>386</v>
      </c>
      <c r="C359" s="104"/>
      <c r="D359" s="104"/>
      <c r="E359" s="104"/>
      <c r="F359" s="39"/>
      <c r="G359" s="39"/>
      <c r="H359" s="39"/>
      <c r="I359" s="39"/>
      <c r="J359" s="39"/>
      <c r="K359" s="39"/>
      <c r="L359" s="39"/>
      <c r="M359" s="39"/>
      <c r="N359" s="39"/>
      <c r="O359" s="39"/>
      <c r="P359" s="39"/>
      <c r="Q359" s="19"/>
      <c r="R359" s="19"/>
      <c r="S359" s="19"/>
      <c r="T359" s="19"/>
    </row>
    <row r="360" spans="1:20" hidden="1" outlineLevel="1" x14ac:dyDescent="0.15">
      <c r="A360" s="19"/>
      <c r="B360" s="76"/>
      <c r="C360" s="104"/>
      <c r="D360" s="104"/>
      <c r="E360" s="104"/>
      <c r="F360" s="39"/>
      <c r="G360" s="39"/>
      <c r="H360" s="39"/>
      <c r="I360" s="39"/>
      <c r="J360" s="39"/>
      <c r="K360" s="39"/>
      <c r="L360" s="39"/>
      <c r="M360" s="39"/>
      <c r="N360" s="39"/>
      <c r="O360" s="39"/>
      <c r="P360" s="39"/>
      <c r="Q360" s="19"/>
      <c r="R360" s="19"/>
      <c r="S360" s="19"/>
      <c r="T360" s="19"/>
    </row>
    <row r="361" spans="1:20" collapsed="1" x14ac:dyDescent="0.15">
      <c r="A361" s="19"/>
      <c r="B361" s="70" t="s">
        <v>112</v>
      </c>
      <c r="C361" s="19"/>
      <c r="D361" s="19"/>
      <c r="E361" s="19"/>
      <c r="F361" s="19"/>
      <c r="G361" s="19"/>
      <c r="H361" s="19"/>
      <c r="I361" s="19"/>
      <c r="J361" s="19"/>
      <c r="K361" s="19"/>
      <c r="L361" s="19"/>
      <c r="M361" s="19"/>
      <c r="N361" s="19"/>
      <c r="O361" s="19"/>
      <c r="P361" s="19"/>
      <c r="Q361" s="19"/>
      <c r="R361" s="19"/>
      <c r="S361" s="19"/>
      <c r="T361" s="19"/>
    </row>
    <row r="362" spans="1:20" x14ac:dyDescent="0.15">
      <c r="A362" s="19"/>
      <c r="B362" s="19"/>
      <c r="C362" s="19"/>
      <c r="D362" s="19"/>
      <c r="E362" s="19"/>
      <c r="F362" s="19"/>
      <c r="G362" s="19"/>
      <c r="H362" s="19"/>
      <c r="I362" s="19"/>
      <c r="J362" s="19"/>
      <c r="K362" s="19"/>
      <c r="L362" s="19"/>
      <c r="M362" s="19"/>
      <c r="N362" s="19"/>
      <c r="O362" s="19"/>
      <c r="P362" s="19"/>
      <c r="Q362" s="19"/>
      <c r="R362" s="19"/>
      <c r="S362" s="19"/>
      <c r="T362" s="19"/>
    </row>
    <row r="363" spans="1:20" ht="14" x14ac:dyDescent="0.15">
      <c r="A363" s="19"/>
      <c r="B363" s="37" t="s">
        <v>477</v>
      </c>
      <c r="C363" s="19"/>
      <c r="D363" s="19"/>
      <c r="E363" s="19"/>
      <c r="F363" s="19"/>
      <c r="G363" s="19"/>
      <c r="H363" s="19"/>
      <c r="I363" s="19"/>
      <c r="J363" s="19"/>
      <c r="K363" s="19"/>
      <c r="L363" s="19"/>
      <c r="M363" s="19"/>
      <c r="N363" s="19"/>
      <c r="O363" s="19"/>
      <c r="P363" s="19"/>
      <c r="Q363" s="19"/>
      <c r="R363" s="19"/>
      <c r="S363" s="19"/>
      <c r="T363" s="19"/>
    </row>
    <row r="364" spans="1:20" ht="14" hidden="1" outlineLevel="1" x14ac:dyDescent="0.15">
      <c r="A364" s="19"/>
      <c r="B364" s="37"/>
      <c r="C364" s="95"/>
      <c r="D364" s="95"/>
      <c r="E364" s="19"/>
      <c r="F364" s="19"/>
      <c r="G364" s="19"/>
      <c r="H364" s="19"/>
      <c r="I364" s="19"/>
      <c r="J364" s="19"/>
      <c r="K364" s="19"/>
      <c r="L364" s="19"/>
      <c r="M364" s="19"/>
      <c r="N364" s="19"/>
      <c r="O364" s="19"/>
      <c r="P364" s="19"/>
      <c r="Q364" s="19"/>
      <c r="R364" s="19"/>
      <c r="S364" s="19"/>
      <c r="T364" s="19"/>
    </row>
    <row r="365" spans="1:20" ht="28" hidden="1" outlineLevel="1" x14ac:dyDescent="0.15">
      <c r="A365" s="19"/>
      <c r="B365" s="105" t="s">
        <v>855</v>
      </c>
      <c r="C365" s="248" t="s">
        <v>600</v>
      </c>
      <c r="D365" s="248" t="s">
        <v>599</v>
      </c>
      <c r="E365" s="19"/>
      <c r="F365" s="19" t="s">
        <v>485</v>
      </c>
      <c r="G365" s="19" t="s">
        <v>485</v>
      </c>
      <c r="H365" s="19"/>
      <c r="I365" s="19"/>
      <c r="J365" s="19"/>
      <c r="K365" s="19"/>
      <c r="L365" s="19"/>
      <c r="M365" s="19"/>
      <c r="N365" s="19"/>
      <c r="O365" s="19"/>
      <c r="P365" s="19"/>
      <c r="Q365" s="19"/>
      <c r="R365" s="19"/>
      <c r="S365" s="19"/>
      <c r="T365" s="19"/>
    </row>
    <row r="366" spans="1:20" ht="30" hidden="1" outlineLevel="1" x14ac:dyDescent="0.15">
      <c r="A366" s="19"/>
      <c r="B366" s="19" t="s">
        <v>689</v>
      </c>
      <c r="C366" s="74">
        <f>D366-0.02</f>
        <v>-0.18</v>
      </c>
      <c r="D366" s="74">
        <v>-0.16</v>
      </c>
      <c r="E366" s="95" t="s">
        <v>676</v>
      </c>
      <c r="F366" s="21" t="s">
        <v>309</v>
      </c>
      <c r="G366" s="21" t="s">
        <v>404</v>
      </c>
      <c r="H366" s="19"/>
      <c r="I366" s="19"/>
      <c r="J366" s="19"/>
      <c r="K366" s="19"/>
      <c r="L366" s="19"/>
      <c r="M366" s="19"/>
      <c r="N366" s="19"/>
      <c r="O366" s="19"/>
      <c r="P366" s="19"/>
      <c r="Q366" s="19"/>
      <c r="R366" s="19"/>
      <c r="S366" s="19"/>
      <c r="T366" s="19"/>
    </row>
    <row r="367" spans="1:20" ht="30" hidden="1" outlineLevel="1" x14ac:dyDescent="0.15">
      <c r="A367" s="19"/>
      <c r="B367" s="19" t="s">
        <v>679</v>
      </c>
      <c r="C367" s="230">
        <f>C366/2</f>
        <v>-0.09</v>
      </c>
      <c r="D367" s="230">
        <f>D366/2</f>
        <v>-0.08</v>
      </c>
      <c r="E367" s="95" t="s">
        <v>682</v>
      </c>
      <c r="F367" s="21" t="s">
        <v>310</v>
      </c>
      <c r="G367" s="21" t="s">
        <v>743</v>
      </c>
      <c r="H367" s="19"/>
      <c r="I367" s="19"/>
      <c r="J367" s="19"/>
      <c r="K367" s="19"/>
      <c r="L367" s="19"/>
      <c r="M367" s="19"/>
      <c r="N367" s="19"/>
      <c r="O367" s="19"/>
      <c r="P367" s="19"/>
      <c r="Q367" s="19"/>
      <c r="R367" s="19"/>
      <c r="S367" s="19"/>
      <c r="T367" s="19"/>
    </row>
    <row r="368" spans="1:20" hidden="1" outlineLevel="1" x14ac:dyDescent="0.15">
      <c r="A368" s="19"/>
      <c r="B368" s="19"/>
      <c r="C368" s="19"/>
      <c r="D368" s="19"/>
      <c r="E368" s="95"/>
      <c r="F368" s="19"/>
      <c r="G368" s="19"/>
      <c r="H368" s="19"/>
      <c r="I368" s="19"/>
      <c r="J368" s="19"/>
      <c r="K368" s="19"/>
      <c r="L368" s="19"/>
      <c r="M368" s="19"/>
      <c r="N368" s="19"/>
      <c r="O368" s="19"/>
      <c r="P368" s="19"/>
      <c r="Q368" s="19"/>
      <c r="R368" s="19"/>
      <c r="S368" s="19"/>
      <c r="T368" s="19"/>
    </row>
    <row r="369" spans="1:20" hidden="1" outlineLevel="1" x14ac:dyDescent="0.15">
      <c r="A369" s="19"/>
      <c r="B369" s="76" t="s">
        <v>678</v>
      </c>
      <c r="C369" s="39"/>
      <c r="D369" s="39"/>
      <c r="E369" s="39"/>
      <c r="F369" s="39"/>
      <c r="G369" s="39"/>
      <c r="H369" s="39"/>
      <c r="I369" s="39"/>
      <c r="J369" s="39"/>
      <c r="K369" s="39"/>
      <c r="L369" s="39"/>
      <c r="M369" s="39"/>
      <c r="N369" s="39"/>
      <c r="O369" s="39"/>
      <c r="P369" s="39"/>
      <c r="Q369" s="19"/>
      <c r="R369" s="19"/>
      <c r="S369" s="19"/>
      <c r="T369" s="19"/>
    </row>
    <row r="370" spans="1:20" ht="15" hidden="1" outlineLevel="1" x14ac:dyDescent="0.2">
      <c r="A370" s="19"/>
      <c r="B370" s="228" t="s">
        <v>677</v>
      </c>
      <c r="C370" s="39"/>
      <c r="D370" s="39"/>
      <c r="E370" s="39"/>
      <c r="F370" s="39"/>
      <c r="G370" s="39"/>
      <c r="H370" s="39"/>
      <c r="I370" s="39"/>
      <c r="J370" s="39"/>
      <c r="K370" s="39"/>
      <c r="L370" s="39"/>
      <c r="M370" s="39"/>
      <c r="N370" s="39"/>
      <c r="O370" s="39"/>
      <c r="P370" s="39"/>
      <c r="Q370" s="19"/>
      <c r="R370" s="19"/>
      <c r="S370" s="19"/>
      <c r="T370" s="19"/>
    </row>
    <row r="371" spans="1:20" ht="14" hidden="1" outlineLevel="1" x14ac:dyDescent="0.15">
      <c r="A371" s="19"/>
      <c r="B371" s="342" t="s">
        <v>681</v>
      </c>
      <c r="C371" s="39"/>
      <c r="D371" s="39"/>
      <c r="E371" s="39"/>
      <c r="F371" s="39"/>
      <c r="G371" s="39"/>
      <c r="H371" s="39"/>
      <c r="I371" s="39"/>
      <c r="J371" s="39"/>
      <c r="K371" s="39"/>
      <c r="L371" s="39"/>
      <c r="M371" s="39"/>
      <c r="N371" s="39"/>
      <c r="O371" s="39"/>
      <c r="P371" s="39"/>
      <c r="Q371" s="19"/>
      <c r="R371" s="19"/>
      <c r="S371" s="19"/>
      <c r="T371" s="19"/>
    </row>
    <row r="372" spans="1:20" ht="15" hidden="1" outlineLevel="1" x14ac:dyDescent="0.2">
      <c r="A372" s="19"/>
      <c r="B372" s="228" t="s">
        <v>680</v>
      </c>
      <c r="C372" s="39"/>
      <c r="D372" s="39"/>
      <c r="E372" s="39"/>
      <c r="F372" s="39"/>
      <c r="G372" s="39"/>
      <c r="H372" s="39"/>
      <c r="I372" s="39"/>
      <c r="J372" s="39"/>
      <c r="K372" s="39"/>
      <c r="L372" s="39"/>
      <c r="M372" s="39"/>
      <c r="N372" s="39"/>
      <c r="O372" s="39"/>
      <c r="P372" s="39"/>
      <c r="Q372" s="19"/>
      <c r="R372" s="19"/>
      <c r="S372" s="19"/>
      <c r="T372" s="19"/>
    </row>
    <row r="373" spans="1:20" hidden="1" outlineLevel="1" x14ac:dyDescent="0.15">
      <c r="A373" s="19"/>
      <c r="B373" s="19"/>
      <c r="C373" s="19"/>
      <c r="D373" s="19"/>
      <c r="E373" s="95"/>
      <c r="F373" s="19"/>
      <c r="G373" s="19"/>
      <c r="H373" s="19"/>
      <c r="I373" s="19"/>
      <c r="J373" s="19"/>
      <c r="K373" s="19"/>
      <c r="L373" s="19"/>
      <c r="M373" s="19"/>
      <c r="N373" s="19"/>
      <c r="O373" s="19"/>
      <c r="P373" s="19"/>
      <c r="Q373" s="19"/>
      <c r="R373" s="19"/>
      <c r="S373" s="19"/>
      <c r="T373" s="19"/>
    </row>
    <row r="374" spans="1:20" hidden="1" outlineLevel="1" x14ac:dyDescent="0.15">
      <c r="A374" s="19"/>
      <c r="B374" s="19"/>
      <c r="C374" s="249" t="s">
        <v>587</v>
      </c>
      <c r="D374" s="249" t="s">
        <v>588</v>
      </c>
      <c r="E374" s="19" t="s">
        <v>675</v>
      </c>
      <c r="F374" s="19"/>
      <c r="G374" s="19"/>
      <c r="H374" s="19"/>
      <c r="I374" s="19"/>
      <c r="J374" s="19"/>
      <c r="K374" s="19"/>
      <c r="L374" s="19"/>
      <c r="M374" s="19"/>
      <c r="N374" s="19"/>
      <c r="O374" s="19"/>
      <c r="P374" s="19"/>
      <c r="Q374" s="19"/>
      <c r="R374" s="19"/>
      <c r="S374" s="19"/>
      <c r="T374" s="19"/>
    </row>
    <row r="375" spans="1:20" ht="15" hidden="1" outlineLevel="1" x14ac:dyDescent="0.2">
      <c r="A375" s="19"/>
      <c r="B375" s="19" t="s">
        <v>458</v>
      </c>
      <c r="C375" s="250">
        <f>-0.21</f>
        <v>-0.21</v>
      </c>
      <c r="D375" s="250">
        <f>-0.32</f>
        <v>-0.32</v>
      </c>
      <c r="E375" s="19" t="s">
        <v>686</v>
      </c>
      <c r="F375" s="19"/>
      <c r="G375" s="19"/>
      <c r="H375" s="19"/>
      <c r="I375" s="19"/>
      <c r="J375" s="19"/>
      <c r="K375" s="19"/>
      <c r="L375" s="19"/>
      <c r="M375" s="19"/>
      <c r="N375" s="19"/>
      <c r="O375" s="19"/>
      <c r="P375" s="19"/>
      <c r="Q375" s="19"/>
      <c r="R375" s="19"/>
      <c r="S375" s="19"/>
      <c r="T375" s="19"/>
    </row>
    <row r="376" spans="1:20" ht="43" hidden="1" outlineLevel="1" x14ac:dyDescent="0.2">
      <c r="A376" s="19"/>
      <c r="B376" s="95" t="s">
        <v>793</v>
      </c>
      <c r="C376" s="74">
        <v>-1</v>
      </c>
      <c r="D376" s="74">
        <v>-1.75</v>
      </c>
      <c r="E376" s="19" t="s">
        <v>686</v>
      </c>
      <c r="F376" s="19" t="s">
        <v>687</v>
      </c>
      <c r="G376" s="19"/>
      <c r="H376" s="19"/>
      <c r="I376" s="19"/>
      <c r="J376" s="19"/>
      <c r="K376" s="19"/>
      <c r="L376" s="19"/>
      <c r="M376" s="19"/>
      <c r="N376" s="19"/>
      <c r="O376" s="19"/>
      <c r="P376" s="19"/>
      <c r="Q376" s="19"/>
      <c r="R376" s="19"/>
      <c r="S376" s="19"/>
      <c r="T376" s="19"/>
    </row>
    <row r="377" spans="1:20" hidden="1" outlineLevel="1" x14ac:dyDescent="0.15">
      <c r="A377" s="19"/>
      <c r="B377" s="19"/>
      <c r="C377" s="19"/>
      <c r="D377" s="19"/>
      <c r="E377" s="95"/>
      <c r="F377" s="19"/>
      <c r="G377" s="19"/>
      <c r="H377" s="19"/>
      <c r="I377" s="19"/>
      <c r="J377" s="19"/>
      <c r="K377" s="19"/>
      <c r="L377" s="19"/>
      <c r="M377" s="19"/>
      <c r="N377" s="19"/>
      <c r="O377" s="19"/>
      <c r="P377" s="19"/>
      <c r="Q377" s="19"/>
      <c r="R377" s="19"/>
      <c r="S377" s="19"/>
      <c r="T377" s="19"/>
    </row>
    <row r="378" spans="1:20" hidden="1" outlineLevel="1" x14ac:dyDescent="0.15">
      <c r="A378" s="19"/>
      <c r="B378" s="76" t="s">
        <v>635</v>
      </c>
      <c r="C378" s="39"/>
      <c r="D378" s="39"/>
      <c r="E378" s="39"/>
      <c r="F378" s="39"/>
      <c r="G378" s="39"/>
      <c r="H378" s="39"/>
      <c r="I378" s="39"/>
      <c r="J378" s="39"/>
      <c r="K378" s="39"/>
      <c r="L378" s="39"/>
      <c r="M378" s="39"/>
      <c r="N378" s="39"/>
      <c r="O378" s="39"/>
      <c r="P378" s="39"/>
      <c r="Q378" s="19"/>
      <c r="R378" s="19"/>
      <c r="S378" s="19"/>
      <c r="T378" s="19"/>
    </row>
    <row r="379" spans="1:20" ht="15" hidden="1" outlineLevel="1" x14ac:dyDescent="0.2">
      <c r="A379" s="19"/>
      <c r="B379" s="228" t="s">
        <v>601</v>
      </c>
      <c r="C379" s="39"/>
      <c r="D379" s="39"/>
      <c r="E379" s="39"/>
      <c r="F379" s="39"/>
      <c r="G379" s="39"/>
      <c r="H379" s="39"/>
      <c r="I379" s="39"/>
      <c r="J379" s="39"/>
      <c r="K379" s="39"/>
      <c r="L379" s="39"/>
      <c r="M379" s="39"/>
      <c r="N379" s="39"/>
      <c r="O379" s="39"/>
      <c r="P379" s="39"/>
      <c r="Q379" s="19"/>
      <c r="R379" s="19"/>
      <c r="S379" s="19"/>
      <c r="T379" s="19"/>
    </row>
    <row r="380" spans="1:20" ht="15" hidden="1" outlineLevel="1" x14ac:dyDescent="0.2">
      <c r="A380" s="19"/>
      <c r="B380" s="228" t="s">
        <v>602</v>
      </c>
      <c r="C380" s="39"/>
      <c r="D380" s="39"/>
      <c r="E380" s="39"/>
      <c r="F380" s="39"/>
      <c r="G380" s="39"/>
      <c r="H380" s="39"/>
      <c r="I380" s="39"/>
      <c r="J380" s="39"/>
      <c r="K380" s="39"/>
      <c r="L380" s="39"/>
      <c r="M380" s="39"/>
      <c r="N380" s="39"/>
      <c r="O380" s="39"/>
      <c r="P380" s="39"/>
      <c r="Q380" s="19"/>
      <c r="R380" s="19"/>
      <c r="S380" s="19"/>
      <c r="T380" s="19"/>
    </row>
    <row r="381" spans="1:20" hidden="1" outlineLevel="1" x14ac:dyDescent="0.15">
      <c r="A381" s="19"/>
      <c r="B381" s="19"/>
      <c r="C381" s="19"/>
      <c r="D381" s="19"/>
      <c r="E381" s="19"/>
      <c r="F381" s="19"/>
      <c r="G381" s="19"/>
      <c r="H381" s="19"/>
      <c r="I381" s="19"/>
      <c r="J381" s="19"/>
      <c r="K381" s="19"/>
      <c r="L381" s="19"/>
      <c r="M381" s="19"/>
      <c r="N381" s="19"/>
      <c r="O381" s="19"/>
      <c r="P381" s="19"/>
      <c r="Q381" s="19"/>
      <c r="R381" s="19"/>
      <c r="S381" s="19"/>
      <c r="T381" s="19"/>
    </row>
    <row r="382" spans="1:20" hidden="1" outlineLevel="1" x14ac:dyDescent="0.15">
      <c r="A382" s="19"/>
      <c r="B382" s="16" t="s">
        <v>481</v>
      </c>
      <c r="C382" s="93">
        <f>-885/(2800/8700)/1000</f>
        <v>-2.7498214285714284</v>
      </c>
      <c r="D382" s="19" t="s">
        <v>886</v>
      </c>
      <c r="E382" s="19"/>
      <c r="F382" s="19"/>
      <c r="G382" s="19" t="s">
        <v>887</v>
      </c>
      <c r="H382" s="19"/>
      <c r="I382" s="19"/>
      <c r="J382" s="19"/>
      <c r="K382" s="19"/>
      <c r="L382" s="19"/>
      <c r="M382" s="19"/>
      <c r="N382" s="19"/>
      <c r="O382" s="19"/>
      <c r="P382" s="19"/>
      <c r="Q382" s="19"/>
      <c r="R382" s="19"/>
      <c r="S382" s="19"/>
      <c r="T382" s="19"/>
    </row>
    <row r="383" spans="1:20" hidden="1" outlineLevel="1" x14ac:dyDescent="0.15">
      <c r="A383" s="19"/>
      <c r="B383" s="19"/>
      <c r="C383" s="112">
        <f>C382/C27/1000</f>
        <v>-1.2472995022141816E-3</v>
      </c>
      <c r="D383" s="19" t="s">
        <v>643</v>
      </c>
      <c r="E383" s="19"/>
      <c r="F383" s="19"/>
      <c r="G383" s="19"/>
      <c r="H383" s="19"/>
      <c r="I383" s="19"/>
      <c r="J383" s="19"/>
      <c r="K383" s="19"/>
      <c r="L383" s="19"/>
      <c r="M383" s="19"/>
      <c r="N383" s="19"/>
      <c r="O383" s="19"/>
      <c r="P383" s="19"/>
      <c r="Q383" s="19"/>
      <c r="R383" s="19"/>
      <c r="S383" s="19"/>
      <c r="T383" s="19"/>
    </row>
    <row r="384" spans="1:20" hidden="1" outlineLevel="1" x14ac:dyDescent="0.15">
      <c r="A384" s="19"/>
      <c r="B384" s="19"/>
      <c r="C384" s="19"/>
      <c r="D384" s="19"/>
      <c r="E384" s="19"/>
      <c r="F384" s="19"/>
      <c r="G384" s="19"/>
      <c r="H384" s="19"/>
      <c r="I384" s="19"/>
      <c r="J384" s="19"/>
      <c r="K384" s="19"/>
      <c r="L384" s="19"/>
      <c r="M384" s="19"/>
      <c r="N384" s="19"/>
      <c r="O384" s="19"/>
      <c r="P384" s="19"/>
      <c r="Q384" s="19"/>
      <c r="R384" s="19"/>
      <c r="S384" s="19"/>
      <c r="T384" s="19"/>
    </row>
    <row r="385" spans="1:20" hidden="1" outlineLevel="1" x14ac:dyDescent="0.15">
      <c r="A385" s="19"/>
      <c r="B385" s="76" t="s">
        <v>888</v>
      </c>
      <c r="C385" s="39"/>
      <c r="D385" s="39"/>
      <c r="E385" s="39"/>
      <c r="F385" s="39"/>
      <c r="G385" s="39"/>
      <c r="H385" s="39"/>
      <c r="I385" s="39"/>
      <c r="J385" s="39"/>
      <c r="K385" s="39"/>
      <c r="L385" s="39"/>
      <c r="M385" s="39"/>
      <c r="N385" s="39"/>
      <c r="O385" s="39"/>
      <c r="P385" s="39"/>
      <c r="Q385" s="19"/>
      <c r="R385" s="19"/>
      <c r="S385" s="19"/>
      <c r="T385" s="19"/>
    </row>
    <row r="386" spans="1:20" ht="15" hidden="1" outlineLevel="1" x14ac:dyDescent="0.2">
      <c r="A386" s="19"/>
      <c r="B386" s="228" t="s">
        <v>889</v>
      </c>
      <c r="C386" s="39"/>
      <c r="D386" s="39"/>
      <c r="E386" s="39"/>
      <c r="F386" s="39"/>
      <c r="G386" s="39"/>
      <c r="H386" s="39"/>
      <c r="I386" s="39"/>
      <c r="J386" s="39"/>
      <c r="K386" s="39"/>
      <c r="L386" s="39"/>
      <c r="M386" s="39"/>
      <c r="N386" s="39"/>
      <c r="O386" s="39"/>
      <c r="P386" s="39"/>
      <c r="Q386" s="19"/>
      <c r="R386" s="19"/>
      <c r="S386" s="19"/>
      <c r="T386" s="19"/>
    </row>
    <row r="387" spans="1:20" hidden="1" outlineLevel="1" x14ac:dyDescent="0.15">
      <c r="A387" s="19"/>
      <c r="B387" s="19"/>
      <c r="C387" s="19"/>
      <c r="D387" s="19"/>
      <c r="E387" s="19"/>
      <c r="F387" s="19"/>
      <c r="G387" s="19"/>
      <c r="H387" s="19"/>
      <c r="I387" s="19"/>
      <c r="J387" s="19"/>
      <c r="K387" s="19"/>
      <c r="L387" s="19"/>
      <c r="M387" s="19"/>
      <c r="N387" s="19"/>
      <c r="O387" s="19"/>
      <c r="P387" s="19"/>
      <c r="Q387" s="19"/>
      <c r="R387" s="19"/>
      <c r="S387" s="19"/>
      <c r="T387" s="19"/>
    </row>
    <row r="388" spans="1:20" ht="42" hidden="1" outlineLevel="1" x14ac:dyDescent="0.15">
      <c r="A388" s="19"/>
      <c r="B388" s="105" t="s">
        <v>580</v>
      </c>
      <c r="C388" s="95" t="s">
        <v>774</v>
      </c>
      <c r="D388" s="95" t="s">
        <v>775</v>
      </c>
      <c r="E388" s="19"/>
      <c r="F388" s="19"/>
      <c r="G388" s="19"/>
      <c r="H388" s="19"/>
      <c r="I388" s="19"/>
      <c r="J388" s="19"/>
      <c r="K388" s="19"/>
      <c r="L388" s="19"/>
      <c r="M388" s="19"/>
      <c r="N388" s="19"/>
      <c r="O388" s="19"/>
      <c r="P388" s="19"/>
      <c r="Q388" s="19"/>
      <c r="R388" s="19"/>
      <c r="S388" s="19"/>
      <c r="T388" s="19"/>
    </row>
    <row r="389" spans="1:20" hidden="1" outlineLevel="1" x14ac:dyDescent="0.15">
      <c r="A389" s="19"/>
      <c r="B389" s="19" t="s">
        <v>500</v>
      </c>
      <c r="C389" s="93">
        <v>3.75</v>
      </c>
      <c r="D389" s="230">
        <f t="shared" ref="D389:D395" si="5">C389*$C$24</f>
        <v>1.7009713874999999E-3</v>
      </c>
      <c r="E389" s="19"/>
      <c r="F389" s="19"/>
      <c r="G389" s="19"/>
      <c r="H389" s="19"/>
      <c r="I389" s="19"/>
      <c r="J389" s="19"/>
      <c r="K389" s="19"/>
      <c r="L389" s="19"/>
      <c r="M389" s="19"/>
      <c r="N389" s="19"/>
      <c r="O389" s="19"/>
      <c r="P389" s="19"/>
      <c r="Q389" s="19"/>
      <c r="R389" s="19"/>
      <c r="S389" s="19"/>
      <c r="T389" s="19"/>
    </row>
    <row r="390" spans="1:20" hidden="1" outlineLevel="1" x14ac:dyDescent="0.15">
      <c r="A390" s="19"/>
      <c r="B390" s="19" t="s">
        <v>788</v>
      </c>
      <c r="C390" s="93">
        <v>6.04</v>
      </c>
      <c r="D390" s="230">
        <f t="shared" si="5"/>
        <v>2.7396979147999998E-3</v>
      </c>
      <c r="E390" s="19"/>
      <c r="F390" s="19"/>
      <c r="G390" s="19"/>
      <c r="H390" s="19"/>
      <c r="I390" s="19"/>
      <c r="J390" s="19"/>
      <c r="K390" s="19"/>
      <c r="L390" s="19"/>
      <c r="M390" s="19"/>
      <c r="N390" s="19"/>
      <c r="O390" s="19"/>
      <c r="P390" s="19"/>
      <c r="Q390" s="19"/>
      <c r="R390" s="19"/>
      <c r="S390" s="19"/>
      <c r="T390" s="19"/>
    </row>
    <row r="391" spans="1:20" hidden="1" outlineLevel="1" x14ac:dyDescent="0.15">
      <c r="A391" s="19"/>
      <c r="B391" s="19" t="s">
        <v>582</v>
      </c>
      <c r="C391" s="93">
        <v>3.11</v>
      </c>
      <c r="D391" s="230">
        <f t="shared" si="5"/>
        <v>1.4106722706999999E-3</v>
      </c>
      <c r="E391" s="382"/>
      <c r="F391" s="19"/>
      <c r="G391" s="19"/>
      <c r="H391" s="19"/>
      <c r="I391" s="19"/>
      <c r="J391" s="19"/>
      <c r="K391" s="19"/>
      <c r="L391" s="19"/>
      <c r="M391" s="19"/>
      <c r="N391" s="19"/>
      <c r="O391" s="19"/>
      <c r="P391" s="19"/>
      <c r="Q391" s="19"/>
      <c r="R391" s="19"/>
      <c r="S391" s="19"/>
      <c r="T391" s="19"/>
    </row>
    <row r="392" spans="1:20" hidden="1" outlineLevel="1" x14ac:dyDescent="0.15">
      <c r="A392" s="19"/>
      <c r="B392" s="19" t="s">
        <v>501</v>
      </c>
      <c r="C392" s="93">
        <v>8.27</v>
      </c>
      <c r="D392" s="230">
        <f t="shared" si="5"/>
        <v>3.7512088998999998E-3</v>
      </c>
      <c r="E392" s="19"/>
      <c r="F392" s="19"/>
      <c r="G392" s="19"/>
      <c r="H392" s="19"/>
      <c r="I392" s="19"/>
      <c r="J392" s="19"/>
      <c r="K392" s="19"/>
      <c r="L392" s="19"/>
      <c r="M392" s="19"/>
      <c r="N392" s="19"/>
      <c r="O392" s="19"/>
      <c r="P392" s="19"/>
      <c r="Q392" s="19"/>
      <c r="R392" s="19"/>
      <c r="S392" s="19"/>
      <c r="T392" s="19"/>
    </row>
    <row r="393" spans="1:20" hidden="1" outlineLevel="1" x14ac:dyDescent="0.15">
      <c r="A393" s="19"/>
      <c r="B393" s="19" t="s">
        <v>502</v>
      </c>
      <c r="C393" s="93">
        <v>8.31</v>
      </c>
      <c r="D393" s="230">
        <f t="shared" si="5"/>
        <v>3.7693525947000003E-3</v>
      </c>
      <c r="E393" s="19"/>
      <c r="F393" s="19"/>
      <c r="G393" s="19"/>
      <c r="H393" s="19"/>
      <c r="I393" s="19"/>
      <c r="J393" s="19"/>
      <c r="K393" s="19"/>
      <c r="L393" s="19"/>
      <c r="M393" s="19"/>
      <c r="N393" s="19"/>
      <c r="O393" s="19"/>
      <c r="P393" s="19"/>
      <c r="Q393" s="19"/>
      <c r="R393" s="19"/>
      <c r="S393" s="19"/>
      <c r="T393" s="19"/>
    </row>
    <row r="394" spans="1:20" hidden="1" outlineLevel="1" x14ac:dyDescent="0.15">
      <c r="A394" s="19"/>
      <c r="B394" s="19" t="s">
        <v>503</v>
      </c>
      <c r="C394" s="93">
        <v>2.4</v>
      </c>
      <c r="D394" s="230">
        <f t="shared" si="5"/>
        <v>1.088621688E-3</v>
      </c>
      <c r="E394" s="19"/>
      <c r="F394" s="19"/>
      <c r="G394" s="19"/>
      <c r="H394" s="19"/>
      <c r="I394" s="19"/>
      <c r="J394" s="19"/>
      <c r="K394" s="19"/>
      <c r="L394" s="19"/>
      <c r="M394" s="19"/>
      <c r="N394" s="19"/>
      <c r="O394" s="19"/>
      <c r="P394" s="19"/>
      <c r="Q394" s="19"/>
      <c r="R394" s="19"/>
      <c r="S394" s="19"/>
      <c r="T394" s="19"/>
    </row>
    <row r="395" spans="1:20" hidden="1" outlineLevel="1" x14ac:dyDescent="0.15">
      <c r="A395" s="19"/>
      <c r="B395" s="19" t="s">
        <v>789</v>
      </c>
      <c r="C395" s="93">
        <v>5.34</v>
      </c>
      <c r="D395" s="230">
        <f t="shared" si="5"/>
        <v>2.4221832557999997E-3</v>
      </c>
      <c r="E395" s="19"/>
      <c r="F395" s="19"/>
      <c r="G395" s="19"/>
      <c r="H395" s="19"/>
      <c r="I395" s="19"/>
      <c r="J395" s="19"/>
      <c r="K395" s="19"/>
      <c r="L395" s="19"/>
      <c r="M395" s="19"/>
      <c r="N395" s="19"/>
      <c r="O395" s="19"/>
      <c r="P395" s="19"/>
      <c r="Q395" s="19"/>
      <c r="R395" s="19"/>
      <c r="S395" s="19"/>
      <c r="T395" s="19"/>
    </row>
    <row r="396" spans="1:20" ht="14" hidden="1" outlineLevel="1" x14ac:dyDescent="0.15">
      <c r="A396" s="19"/>
      <c r="B396" s="27"/>
      <c r="C396" s="27"/>
      <c r="D396" s="27"/>
      <c r="E396" s="19"/>
      <c r="F396" s="19"/>
      <c r="G396" s="19"/>
      <c r="H396" s="19"/>
      <c r="I396" s="19"/>
      <c r="J396" s="19"/>
      <c r="K396" s="19"/>
      <c r="L396" s="19"/>
      <c r="M396" s="19"/>
      <c r="N396" s="19"/>
      <c r="O396" s="19"/>
      <c r="P396" s="19"/>
      <c r="Q396" s="19"/>
      <c r="R396" s="19"/>
      <c r="S396" s="19"/>
      <c r="T396" s="19"/>
    </row>
    <row r="397" spans="1:20" ht="14" hidden="1" outlineLevel="1" x14ac:dyDescent="0.15">
      <c r="A397" s="19"/>
      <c r="B397" s="229" t="s">
        <v>776</v>
      </c>
      <c r="C397" s="39"/>
      <c r="D397" s="39"/>
      <c r="E397" s="39"/>
      <c r="F397" s="39"/>
      <c r="G397" s="39"/>
      <c r="H397" s="39"/>
      <c r="I397" s="39"/>
      <c r="J397" s="39"/>
      <c r="K397" s="39"/>
      <c r="L397" s="39"/>
      <c r="M397" s="39"/>
      <c r="N397" s="39"/>
      <c r="O397" s="39"/>
      <c r="P397" s="39"/>
      <c r="Q397" s="19"/>
      <c r="R397" s="19"/>
      <c r="S397" s="19"/>
      <c r="T397" s="19"/>
    </row>
    <row r="398" spans="1:20" ht="15" hidden="1" outlineLevel="1" x14ac:dyDescent="0.2">
      <c r="A398" s="19"/>
      <c r="B398" s="228" t="s">
        <v>581</v>
      </c>
      <c r="C398" s="39"/>
      <c r="D398" s="39"/>
      <c r="E398" s="39"/>
      <c r="F398" s="39"/>
      <c r="G398" s="39"/>
      <c r="H398" s="39"/>
      <c r="I398" s="39"/>
      <c r="J398" s="39"/>
      <c r="K398" s="39"/>
      <c r="L398" s="39"/>
      <c r="M398" s="39"/>
      <c r="N398" s="39"/>
      <c r="O398" s="39"/>
      <c r="P398" s="39"/>
      <c r="Q398" s="19"/>
      <c r="R398" s="19"/>
      <c r="S398" s="19"/>
      <c r="T398" s="19"/>
    </row>
    <row r="399" spans="1:20" ht="14" hidden="1" outlineLevel="1" x14ac:dyDescent="0.15">
      <c r="A399" s="19"/>
      <c r="B399" s="27"/>
      <c r="C399" s="19"/>
      <c r="D399" s="19"/>
      <c r="E399" s="19"/>
      <c r="F399" s="19"/>
      <c r="G399" s="19"/>
      <c r="H399" s="19"/>
      <c r="I399" s="19"/>
      <c r="J399" s="19"/>
      <c r="K399" s="19"/>
      <c r="L399" s="19"/>
      <c r="M399" s="19"/>
      <c r="N399" s="19"/>
      <c r="O399" s="19"/>
      <c r="P399" s="19"/>
      <c r="Q399" s="19"/>
      <c r="R399" s="19"/>
      <c r="S399" s="19"/>
      <c r="T399" s="19"/>
    </row>
    <row r="400" spans="1:20" hidden="1" outlineLevel="1" x14ac:dyDescent="0.15">
      <c r="A400" s="19"/>
      <c r="B400" s="105" t="s">
        <v>785</v>
      </c>
      <c r="C400" s="19"/>
      <c r="D400" s="19"/>
      <c r="E400" s="19"/>
      <c r="F400" s="19"/>
      <c r="G400" s="19"/>
      <c r="H400" s="19"/>
      <c r="I400" s="19"/>
      <c r="J400" s="19"/>
      <c r="K400" s="19"/>
      <c r="L400" s="19"/>
      <c r="M400" s="19"/>
      <c r="N400" s="19"/>
      <c r="O400" s="19"/>
      <c r="P400" s="19"/>
      <c r="Q400" s="19"/>
      <c r="R400" s="19"/>
      <c r="S400" s="19"/>
      <c r="T400" s="19"/>
    </row>
    <row r="401" spans="1:20" ht="42" hidden="1" outlineLevel="1" x14ac:dyDescent="0.15">
      <c r="A401" s="19"/>
      <c r="B401" s="105" t="s">
        <v>498</v>
      </c>
      <c r="C401" s="95" t="s">
        <v>474</v>
      </c>
      <c r="D401" s="95" t="s">
        <v>475</v>
      </c>
      <c r="E401" s="19" t="s">
        <v>421</v>
      </c>
      <c r="F401" s="19"/>
      <c r="G401" s="19"/>
      <c r="H401" s="19"/>
      <c r="I401" s="19"/>
      <c r="J401" s="19"/>
      <c r="K401" s="19"/>
      <c r="L401" s="19"/>
      <c r="M401" s="19"/>
      <c r="N401" s="19"/>
      <c r="O401" s="19"/>
      <c r="P401" s="19"/>
      <c r="Q401" s="19"/>
      <c r="R401" s="19"/>
      <c r="S401" s="19"/>
      <c r="T401" s="19"/>
    </row>
    <row r="402" spans="1:20" hidden="1" outlineLevel="1" x14ac:dyDescent="0.15">
      <c r="A402" s="19"/>
      <c r="B402" s="19" t="s">
        <v>471</v>
      </c>
      <c r="C402" s="252">
        <v>920</v>
      </c>
      <c r="D402" s="106">
        <f>C402/1000*$C$24</f>
        <v>4.1730498040000002E-4</v>
      </c>
      <c r="E402" s="19" t="s">
        <v>791</v>
      </c>
      <c r="F402" s="19"/>
      <c r="G402" s="19"/>
      <c r="H402" s="19"/>
      <c r="I402" s="19"/>
      <c r="J402" s="19"/>
      <c r="K402" s="19"/>
      <c r="L402" s="19"/>
      <c r="M402" s="19"/>
      <c r="N402" s="19"/>
      <c r="O402" s="19"/>
      <c r="P402" s="19"/>
      <c r="Q402" s="19"/>
      <c r="R402" s="19"/>
      <c r="S402" s="19"/>
      <c r="T402" s="19"/>
    </row>
    <row r="403" spans="1:20" hidden="1" outlineLevel="1" x14ac:dyDescent="0.15">
      <c r="A403" s="19"/>
      <c r="B403" s="19" t="s">
        <v>797</v>
      </c>
      <c r="C403" s="252">
        <v>915</v>
      </c>
      <c r="D403" s="106">
        <f>C403/1000*$C$24</f>
        <v>4.1503701855000001E-4</v>
      </c>
      <c r="E403" s="19" t="s">
        <v>791</v>
      </c>
      <c r="F403" s="19"/>
      <c r="G403" s="19"/>
      <c r="H403" s="19"/>
      <c r="I403" s="19"/>
      <c r="J403" s="19"/>
      <c r="K403" s="19"/>
      <c r="L403" s="19"/>
      <c r="M403" s="19"/>
      <c r="N403" s="19"/>
      <c r="O403" s="19"/>
      <c r="P403" s="19"/>
      <c r="Q403" s="19"/>
      <c r="R403" s="19"/>
      <c r="S403" s="19"/>
      <c r="T403" s="19"/>
    </row>
    <row r="404" spans="1:20" hidden="1" outlineLevel="1" x14ac:dyDescent="0.15">
      <c r="A404" s="19"/>
      <c r="B404" s="19" t="s">
        <v>472</v>
      </c>
      <c r="C404" s="252">
        <v>613</v>
      </c>
      <c r="D404" s="106">
        <f>C404/1000*$C$24</f>
        <v>2.7805212281E-4</v>
      </c>
      <c r="E404" s="19" t="s">
        <v>791</v>
      </c>
      <c r="F404" s="19"/>
      <c r="G404" s="19"/>
      <c r="H404" s="19"/>
      <c r="I404" s="19"/>
      <c r="J404" s="19"/>
      <c r="K404" s="19"/>
      <c r="L404" s="19"/>
      <c r="M404" s="19"/>
      <c r="N404" s="19"/>
      <c r="O404" s="19"/>
      <c r="P404" s="19"/>
      <c r="Q404" s="19"/>
      <c r="R404" s="19"/>
      <c r="S404" s="19"/>
      <c r="T404" s="19"/>
    </row>
    <row r="405" spans="1:20" hidden="1" outlineLevel="1" x14ac:dyDescent="0.15">
      <c r="A405" s="19"/>
      <c r="B405" s="19" t="s">
        <v>473</v>
      </c>
      <c r="C405" s="252">
        <v>25500</v>
      </c>
      <c r="D405" s="106">
        <f>C405/1000*$C$24</f>
        <v>1.1566605435E-2</v>
      </c>
      <c r="E405" s="19" t="s">
        <v>791</v>
      </c>
      <c r="F405" s="19"/>
      <c r="G405" s="19"/>
      <c r="H405" s="19"/>
      <c r="I405" s="19"/>
      <c r="J405" s="19"/>
      <c r="K405" s="19"/>
      <c r="L405" s="19"/>
      <c r="M405" s="19"/>
      <c r="N405" s="19"/>
      <c r="O405" s="19"/>
      <c r="P405" s="19"/>
      <c r="Q405" s="19"/>
      <c r="R405" s="19"/>
      <c r="S405" s="19"/>
      <c r="T405" s="19"/>
    </row>
    <row r="406" spans="1:20" ht="41" hidden="1" customHeight="1" outlineLevel="1" x14ac:dyDescent="0.15">
      <c r="A406" s="19"/>
      <c r="B406" s="105" t="s">
        <v>777</v>
      </c>
      <c r="C406" s="19" t="s">
        <v>831</v>
      </c>
      <c r="D406" s="19"/>
      <c r="E406" s="19" t="s">
        <v>833</v>
      </c>
      <c r="F406" s="19" t="s">
        <v>832</v>
      </c>
      <c r="G406" s="95" t="s">
        <v>795</v>
      </c>
      <c r="H406" s="19"/>
      <c r="I406" s="19"/>
      <c r="J406" s="19"/>
      <c r="K406" s="19"/>
      <c r="L406" s="19"/>
      <c r="M406" s="19"/>
      <c r="N406" s="19"/>
      <c r="O406" s="19"/>
      <c r="P406" s="19"/>
      <c r="Q406" s="19"/>
      <c r="R406" s="19"/>
      <c r="S406" s="19"/>
      <c r="T406" s="19"/>
    </row>
    <row r="407" spans="1:20" ht="15" hidden="1" outlineLevel="1" x14ac:dyDescent="0.2">
      <c r="A407" s="19"/>
      <c r="B407" s="19" t="s">
        <v>854</v>
      </c>
      <c r="C407" s="427">
        <f>360/1000</f>
        <v>0.36</v>
      </c>
      <c r="D407" s="19" t="s">
        <v>830</v>
      </c>
      <c r="E407" s="428">
        <f>C407*C27</f>
        <v>0.7936631999999999</v>
      </c>
      <c r="F407" s="428">
        <f>E407/33.8</f>
        <v>2.3481159763313608E-2</v>
      </c>
      <c r="G407" s="106">
        <f>D402*F407</f>
        <v>9.7988049147988536E-6</v>
      </c>
      <c r="H407" s="19"/>
      <c r="I407" s="426"/>
      <c r="J407" s="19"/>
      <c r="K407" s="19"/>
      <c r="L407" s="19"/>
      <c r="M407" s="19"/>
      <c r="N407" s="19"/>
      <c r="O407" s="19"/>
      <c r="P407" s="19"/>
      <c r="Q407" s="19"/>
      <c r="R407" s="19"/>
      <c r="S407" s="19"/>
      <c r="T407" s="19"/>
    </row>
    <row r="408" spans="1:20" hidden="1" outlineLevel="1" x14ac:dyDescent="0.15">
      <c r="A408" s="19"/>
      <c r="B408" s="19"/>
      <c r="C408" s="19"/>
      <c r="D408" s="19"/>
      <c r="E408" s="19"/>
      <c r="F408" s="19"/>
      <c r="G408" s="19"/>
      <c r="H408" s="19"/>
      <c r="I408" s="19"/>
      <c r="J408" s="19"/>
      <c r="K408" s="19"/>
      <c r="L408" s="19"/>
      <c r="M408" s="19"/>
      <c r="N408" s="19"/>
      <c r="O408" s="19"/>
      <c r="P408" s="19"/>
      <c r="Q408" s="19"/>
      <c r="R408" s="19"/>
      <c r="S408" s="19"/>
      <c r="T408" s="19"/>
    </row>
    <row r="409" spans="1:20" ht="14" hidden="1" outlineLevel="1" x14ac:dyDescent="0.15">
      <c r="A409" s="19"/>
      <c r="B409" s="229" t="s">
        <v>835</v>
      </c>
      <c r="C409" s="39"/>
      <c r="D409" s="39"/>
      <c r="E409" s="39"/>
      <c r="F409" s="39"/>
      <c r="G409" s="39"/>
      <c r="H409" s="39"/>
      <c r="I409" s="39"/>
      <c r="J409" s="39"/>
      <c r="K409" s="39"/>
      <c r="L409" s="39"/>
      <c r="M409" s="39"/>
      <c r="N409" s="39"/>
      <c r="O409" s="39"/>
      <c r="P409" s="39"/>
      <c r="Q409" s="19"/>
      <c r="R409" s="19"/>
      <c r="S409" s="19"/>
      <c r="T409" s="19"/>
    </row>
    <row r="410" spans="1:20" ht="15" hidden="1" outlineLevel="1" x14ac:dyDescent="0.2">
      <c r="A410" s="19"/>
      <c r="B410" s="228" t="s">
        <v>581</v>
      </c>
      <c r="C410" s="39"/>
      <c r="D410" s="39"/>
      <c r="E410" s="39"/>
      <c r="F410" s="39"/>
      <c r="G410" s="39"/>
      <c r="H410" s="39"/>
      <c r="I410" s="39"/>
      <c r="J410" s="39"/>
      <c r="K410" s="39"/>
      <c r="L410" s="39"/>
      <c r="M410" s="39"/>
      <c r="N410" s="39"/>
      <c r="O410" s="39"/>
      <c r="P410" s="39"/>
      <c r="Q410" s="19"/>
      <c r="R410" s="19"/>
      <c r="S410" s="19"/>
      <c r="T410" s="19"/>
    </row>
    <row r="411" spans="1:20" ht="14" hidden="1" outlineLevel="1" x14ac:dyDescent="0.15">
      <c r="A411" s="19"/>
      <c r="B411" s="229" t="s">
        <v>836</v>
      </c>
      <c r="C411" s="39"/>
      <c r="D411" s="39"/>
      <c r="E411" s="39"/>
      <c r="F411" s="39"/>
      <c r="G411" s="39"/>
      <c r="H411" s="39"/>
      <c r="I411" s="39"/>
      <c r="J411" s="39"/>
      <c r="K411" s="39"/>
      <c r="L411" s="39"/>
      <c r="M411" s="39"/>
      <c r="N411" s="39"/>
      <c r="O411" s="39"/>
      <c r="P411" s="39"/>
      <c r="Q411" s="19"/>
      <c r="R411" s="19"/>
      <c r="S411" s="19"/>
      <c r="T411" s="19"/>
    </row>
    <row r="412" spans="1:20" ht="15" hidden="1" outlineLevel="1" x14ac:dyDescent="0.2">
      <c r="A412" s="19"/>
      <c r="B412" s="228" t="s">
        <v>792</v>
      </c>
      <c r="C412" s="39"/>
      <c r="D412" s="39"/>
      <c r="E412" s="39"/>
      <c r="F412" s="39"/>
      <c r="G412" s="39"/>
      <c r="H412" s="39"/>
      <c r="I412" s="39"/>
      <c r="J412" s="39"/>
      <c r="K412" s="39"/>
      <c r="L412" s="39"/>
      <c r="M412" s="39"/>
      <c r="N412" s="39"/>
      <c r="O412" s="39"/>
      <c r="P412" s="39"/>
      <c r="Q412" s="19"/>
      <c r="R412" s="19"/>
      <c r="S412" s="19"/>
      <c r="T412" s="19"/>
    </row>
    <row r="413" spans="1:20" collapsed="1" x14ac:dyDescent="0.15">
      <c r="A413" s="19"/>
      <c r="B413" s="70" t="s">
        <v>112</v>
      </c>
      <c r="C413" s="19"/>
      <c r="D413" s="19"/>
      <c r="E413" s="19"/>
      <c r="F413" s="19"/>
      <c r="G413" s="19"/>
      <c r="H413" s="19"/>
      <c r="I413" s="19"/>
      <c r="J413" s="19"/>
      <c r="K413" s="19"/>
      <c r="L413" s="19"/>
      <c r="M413" s="19"/>
      <c r="N413" s="19"/>
      <c r="O413" s="19"/>
      <c r="P413" s="19"/>
      <c r="Q413" s="19"/>
      <c r="R413" s="19"/>
      <c r="S413" s="19"/>
      <c r="T413" s="19"/>
    </row>
    <row r="414" spans="1:20" x14ac:dyDescent="0.15">
      <c r="A414" s="19"/>
      <c r="B414" s="70"/>
      <c r="C414" s="19"/>
      <c r="D414" s="19"/>
      <c r="E414" s="19"/>
      <c r="F414" s="19"/>
      <c r="G414" s="19"/>
      <c r="H414" s="19"/>
      <c r="I414" s="19"/>
      <c r="J414" s="19"/>
      <c r="K414" s="19"/>
      <c r="L414" s="19"/>
      <c r="M414" s="19"/>
      <c r="N414" s="19"/>
      <c r="O414" s="19"/>
      <c r="P414" s="19"/>
      <c r="Q414" s="19"/>
      <c r="R414" s="19"/>
      <c r="S414" s="19"/>
      <c r="T414" s="19"/>
    </row>
    <row r="415" spans="1:20" ht="14" x14ac:dyDescent="0.15">
      <c r="A415" s="19"/>
      <c r="B415" s="37" t="s">
        <v>480</v>
      </c>
      <c r="C415" s="19"/>
      <c r="D415" s="19"/>
      <c r="E415" s="19"/>
      <c r="F415" s="19"/>
      <c r="G415" s="19"/>
      <c r="H415" s="19"/>
      <c r="I415" s="19"/>
      <c r="J415" s="19"/>
      <c r="K415" s="19"/>
      <c r="L415" s="19"/>
      <c r="M415" s="19"/>
      <c r="N415" s="19"/>
      <c r="O415" s="19"/>
      <c r="P415" s="19"/>
      <c r="Q415" s="19"/>
      <c r="R415" s="19"/>
      <c r="S415" s="19"/>
      <c r="T415" s="19"/>
    </row>
    <row r="416" spans="1:20" hidden="1" outlineLevel="1" x14ac:dyDescent="0.15">
      <c r="A416" s="19"/>
      <c r="B416" s="19"/>
      <c r="C416" s="19"/>
      <c r="D416" s="19"/>
      <c r="E416" s="19"/>
      <c r="F416" s="19"/>
      <c r="G416" s="19"/>
      <c r="H416" s="19"/>
      <c r="I416" s="19"/>
      <c r="J416" s="19"/>
      <c r="K416" s="19"/>
      <c r="L416" s="19"/>
      <c r="M416" s="19"/>
      <c r="N416" s="19"/>
      <c r="O416" s="19"/>
      <c r="P416" s="19"/>
      <c r="Q416" s="19"/>
      <c r="R416" s="19"/>
      <c r="S416" s="19"/>
      <c r="T416" s="19"/>
    </row>
    <row r="417" spans="1:20" hidden="1" outlineLevel="1" x14ac:dyDescent="0.15">
      <c r="A417" s="19"/>
      <c r="B417" s="105" t="s">
        <v>459</v>
      </c>
      <c r="C417" s="19" t="s">
        <v>593</v>
      </c>
      <c r="D417" s="19"/>
      <c r="E417" s="19"/>
      <c r="F417" s="19"/>
      <c r="G417" s="19"/>
      <c r="H417" s="19"/>
      <c r="I417" s="19"/>
      <c r="J417" s="19"/>
      <c r="K417" s="19"/>
      <c r="L417" s="19"/>
      <c r="M417" s="19"/>
      <c r="N417" s="19"/>
      <c r="O417" s="19"/>
      <c r="P417" s="19"/>
      <c r="Q417" s="19"/>
      <c r="R417" s="19"/>
      <c r="S417" s="19"/>
      <c r="T417" s="19"/>
    </row>
    <row r="418" spans="1:20" ht="14" hidden="1" outlineLevel="1" x14ac:dyDescent="0.15">
      <c r="A418" s="19"/>
      <c r="B418" s="27" t="s">
        <v>460</v>
      </c>
      <c r="C418" s="251" t="s">
        <v>498</v>
      </c>
      <c r="D418" s="19"/>
      <c r="E418" s="19"/>
      <c r="F418" s="19"/>
      <c r="G418" s="19"/>
      <c r="H418" s="19"/>
      <c r="I418" s="19"/>
      <c r="J418" s="19"/>
      <c r="K418" s="19"/>
      <c r="L418" s="19"/>
      <c r="M418" s="19"/>
      <c r="N418" s="19"/>
      <c r="O418" s="19"/>
      <c r="P418" s="19"/>
      <c r="Q418" s="19"/>
      <c r="R418" s="19"/>
      <c r="S418" s="19"/>
      <c r="T418" s="19"/>
    </row>
    <row r="419" spans="1:20" ht="14" hidden="1" outlineLevel="1" x14ac:dyDescent="0.15">
      <c r="A419" s="19"/>
      <c r="B419" s="27" t="s">
        <v>461</v>
      </c>
      <c r="C419" s="251" t="s">
        <v>499</v>
      </c>
      <c r="D419" s="19"/>
      <c r="E419" s="19"/>
      <c r="F419" s="19"/>
      <c r="G419" s="19"/>
      <c r="H419" s="19"/>
      <c r="I419" s="19"/>
      <c r="J419" s="19"/>
      <c r="K419" s="19"/>
      <c r="L419" s="19"/>
      <c r="M419" s="19"/>
      <c r="N419" s="19"/>
      <c r="O419" s="19"/>
      <c r="P419" s="19"/>
      <c r="Q419" s="19"/>
      <c r="R419" s="19"/>
      <c r="S419" s="19"/>
      <c r="T419" s="19"/>
    </row>
    <row r="420" spans="1:20" ht="14" hidden="1" outlineLevel="1" x14ac:dyDescent="0.15">
      <c r="A420" s="19"/>
      <c r="B420" s="27" t="s">
        <v>462</v>
      </c>
      <c r="C420" s="251" t="s">
        <v>498</v>
      </c>
      <c r="D420" s="19"/>
      <c r="E420" s="19"/>
      <c r="F420" s="19"/>
      <c r="G420" s="19"/>
      <c r="H420" s="19"/>
      <c r="I420" s="19"/>
      <c r="J420" s="19"/>
      <c r="K420" s="19"/>
      <c r="L420" s="19"/>
      <c r="M420" s="19"/>
      <c r="N420" s="19"/>
      <c r="O420" s="19"/>
      <c r="P420" s="19"/>
      <c r="Q420" s="19"/>
      <c r="R420" s="19"/>
      <c r="S420" s="19"/>
      <c r="T420" s="19"/>
    </row>
    <row r="421" spans="1:20" ht="14" hidden="1" outlineLevel="1" x14ac:dyDescent="0.15">
      <c r="A421" s="19"/>
      <c r="B421" s="27" t="s">
        <v>463</v>
      </c>
      <c r="C421" s="251" t="s">
        <v>499</v>
      </c>
      <c r="D421" s="19"/>
      <c r="E421" s="19"/>
      <c r="F421" s="19"/>
      <c r="G421" s="19"/>
      <c r="H421" s="19"/>
      <c r="I421" s="19"/>
      <c r="J421" s="19"/>
      <c r="K421" s="19"/>
      <c r="L421" s="19"/>
      <c r="M421" s="19"/>
      <c r="N421" s="19"/>
      <c r="O421" s="19"/>
      <c r="P421" s="19"/>
      <c r="Q421" s="19"/>
      <c r="R421" s="19"/>
      <c r="S421" s="19"/>
      <c r="T421" s="19"/>
    </row>
    <row r="422" spans="1:20" ht="14" hidden="1" outlineLevel="1" x14ac:dyDescent="0.15">
      <c r="A422" s="19"/>
      <c r="B422" s="27" t="s">
        <v>464</v>
      </c>
      <c r="C422" s="251" t="s">
        <v>498</v>
      </c>
      <c r="D422" s="19"/>
      <c r="E422" s="19"/>
      <c r="F422" s="19"/>
      <c r="G422" s="19"/>
      <c r="H422" s="19"/>
      <c r="I422" s="19"/>
      <c r="J422" s="19"/>
      <c r="K422" s="19"/>
      <c r="L422" s="19"/>
      <c r="M422" s="19"/>
      <c r="N422" s="19"/>
      <c r="O422" s="19"/>
      <c r="P422" s="19"/>
      <c r="Q422" s="19"/>
      <c r="R422" s="19"/>
      <c r="S422" s="19"/>
      <c r="T422" s="19"/>
    </row>
    <row r="423" spans="1:20" ht="14" hidden="1" outlineLevel="1" x14ac:dyDescent="0.15">
      <c r="A423" s="19"/>
      <c r="B423" s="27" t="s">
        <v>466</v>
      </c>
      <c r="C423" s="251" t="s">
        <v>499</v>
      </c>
      <c r="D423" s="19"/>
      <c r="E423" s="19"/>
      <c r="F423" s="19"/>
      <c r="G423" s="19"/>
      <c r="H423" s="19"/>
      <c r="I423" s="19"/>
      <c r="J423" s="19"/>
      <c r="K423" s="19"/>
      <c r="L423" s="19"/>
      <c r="M423" s="19"/>
      <c r="N423" s="19"/>
      <c r="O423" s="19"/>
      <c r="P423" s="19"/>
      <c r="Q423" s="19"/>
      <c r="R423" s="19"/>
      <c r="S423" s="19"/>
      <c r="T423" s="19"/>
    </row>
    <row r="424" spans="1:20" ht="14" hidden="1" outlineLevel="1" x14ac:dyDescent="0.15">
      <c r="A424" s="19"/>
      <c r="B424" s="27" t="s">
        <v>465</v>
      </c>
      <c r="C424" s="251" t="s">
        <v>498</v>
      </c>
      <c r="D424" s="19"/>
      <c r="E424" s="19"/>
      <c r="F424" s="19"/>
      <c r="G424" s="19"/>
      <c r="H424" s="19"/>
      <c r="I424" s="19"/>
      <c r="J424" s="19"/>
      <c r="K424" s="19"/>
      <c r="L424" s="19"/>
      <c r="M424" s="19"/>
      <c r="N424" s="19"/>
      <c r="O424" s="19"/>
      <c r="P424" s="19"/>
      <c r="Q424" s="19"/>
      <c r="R424" s="19"/>
      <c r="S424" s="19"/>
      <c r="T424" s="19"/>
    </row>
    <row r="425" spans="1:20" ht="14" hidden="1" outlineLevel="1" x14ac:dyDescent="0.15">
      <c r="A425" s="19"/>
      <c r="B425" s="27" t="s">
        <v>467</v>
      </c>
      <c r="C425" s="251" t="s">
        <v>499</v>
      </c>
      <c r="D425" s="19"/>
      <c r="E425" s="19"/>
      <c r="F425" s="19"/>
      <c r="G425" s="19"/>
      <c r="H425" s="19"/>
      <c r="I425" s="19"/>
      <c r="J425" s="19"/>
      <c r="K425" s="19"/>
      <c r="L425" s="19"/>
      <c r="M425" s="19"/>
      <c r="N425" s="19"/>
      <c r="O425" s="19"/>
      <c r="P425" s="19"/>
      <c r="Q425" s="19"/>
      <c r="R425" s="19"/>
      <c r="S425" s="19"/>
      <c r="T425" s="19"/>
    </row>
    <row r="426" spans="1:20" ht="14" hidden="1" outlineLevel="1" x14ac:dyDescent="0.15">
      <c r="A426" s="19"/>
      <c r="B426" s="27" t="s">
        <v>468</v>
      </c>
      <c r="C426" s="251" t="s">
        <v>499</v>
      </c>
      <c r="D426" s="19"/>
      <c r="E426" s="19"/>
      <c r="F426" s="19"/>
      <c r="G426" s="19"/>
      <c r="H426" s="19"/>
      <c r="I426" s="19"/>
      <c r="J426" s="19"/>
      <c r="K426" s="19"/>
      <c r="L426" s="19"/>
      <c r="M426" s="19"/>
      <c r="N426" s="19"/>
      <c r="O426" s="19"/>
      <c r="P426" s="19"/>
      <c r="Q426" s="19"/>
      <c r="R426" s="19"/>
      <c r="S426" s="19"/>
      <c r="T426" s="19"/>
    </row>
    <row r="427" spans="1:20" ht="14" hidden="1" outlineLevel="1" x14ac:dyDescent="0.15">
      <c r="A427" s="19"/>
      <c r="B427" s="27" t="s">
        <v>470</v>
      </c>
      <c r="C427" s="251" t="s">
        <v>498</v>
      </c>
      <c r="D427" s="19"/>
      <c r="E427" s="19"/>
      <c r="F427" s="19"/>
      <c r="G427" s="19"/>
      <c r="H427" s="19"/>
      <c r="I427" s="19"/>
      <c r="J427" s="19"/>
      <c r="K427" s="19"/>
      <c r="L427" s="19"/>
      <c r="M427" s="19"/>
      <c r="N427" s="19"/>
      <c r="O427" s="19"/>
      <c r="P427" s="19"/>
      <c r="Q427" s="19"/>
      <c r="R427" s="19"/>
      <c r="S427" s="19"/>
      <c r="T427" s="19"/>
    </row>
    <row r="428" spans="1:20" ht="14" hidden="1" outlineLevel="1" x14ac:dyDescent="0.15">
      <c r="A428" s="19"/>
      <c r="B428" s="27" t="s">
        <v>469</v>
      </c>
      <c r="C428" s="251" t="s">
        <v>499</v>
      </c>
      <c r="D428" s="19"/>
      <c r="E428" s="19"/>
      <c r="F428" s="19"/>
      <c r="G428" s="19"/>
      <c r="H428" s="19"/>
      <c r="I428" s="19"/>
      <c r="J428" s="19"/>
      <c r="K428" s="19"/>
      <c r="L428" s="19"/>
      <c r="M428" s="19"/>
      <c r="N428" s="19"/>
      <c r="O428" s="19"/>
      <c r="P428" s="19"/>
      <c r="Q428" s="19"/>
      <c r="R428" s="19"/>
      <c r="S428" s="19"/>
      <c r="T428" s="19"/>
    </row>
    <row r="429" spans="1:20" hidden="1" outlineLevel="1" x14ac:dyDescent="0.15">
      <c r="A429" s="19"/>
      <c r="B429" s="19"/>
      <c r="C429" s="19"/>
      <c r="D429" s="19"/>
      <c r="E429" s="19"/>
      <c r="F429" s="19"/>
      <c r="G429" s="19"/>
      <c r="H429" s="19"/>
      <c r="I429" s="19"/>
      <c r="J429" s="19"/>
      <c r="K429" s="19"/>
      <c r="L429" s="19"/>
      <c r="M429" s="19"/>
      <c r="N429" s="19"/>
      <c r="O429" s="19"/>
      <c r="P429" s="19"/>
      <c r="Q429" s="19"/>
      <c r="R429" s="19"/>
      <c r="S429" s="19"/>
      <c r="T429" s="19"/>
    </row>
    <row r="430" spans="1:20" ht="56" hidden="1" outlineLevel="1" x14ac:dyDescent="0.15">
      <c r="A430" s="19"/>
      <c r="B430" s="105" t="s">
        <v>757</v>
      </c>
      <c r="C430" s="95" t="s">
        <v>636</v>
      </c>
      <c r="D430" s="95" t="s">
        <v>637</v>
      </c>
      <c r="E430" s="19"/>
      <c r="F430" s="19" t="s">
        <v>125</v>
      </c>
      <c r="G430" s="19"/>
      <c r="H430" s="19"/>
      <c r="I430" s="19"/>
      <c r="J430" s="19"/>
      <c r="K430" s="19"/>
      <c r="L430" s="19"/>
      <c r="M430" s="19"/>
      <c r="N430" s="19"/>
      <c r="O430" s="19"/>
      <c r="P430" s="19"/>
      <c r="Q430" s="19"/>
      <c r="R430" s="19"/>
      <c r="S430" s="19"/>
      <c r="T430" s="19"/>
    </row>
    <row r="431" spans="1:20" ht="14" hidden="1" outlineLevel="1" x14ac:dyDescent="0.15">
      <c r="A431" s="19"/>
      <c r="B431" s="23" t="s">
        <v>768</v>
      </c>
      <c r="C431" s="93">
        <v>-0.97</v>
      </c>
      <c r="D431" s="93">
        <v>-0.97</v>
      </c>
      <c r="E431" s="19" t="s">
        <v>204</v>
      </c>
      <c r="F431" s="19" t="s">
        <v>759</v>
      </c>
      <c r="G431" s="19"/>
      <c r="H431" s="19"/>
      <c r="I431" s="19"/>
      <c r="J431" s="19"/>
      <c r="K431" s="19"/>
      <c r="L431" s="19"/>
      <c r="M431" s="19"/>
      <c r="N431" s="19"/>
      <c r="O431" s="19"/>
      <c r="P431" s="19"/>
      <c r="Q431" s="19"/>
      <c r="R431" s="19"/>
      <c r="S431" s="19"/>
      <c r="T431" s="19"/>
    </row>
    <row r="432" spans="1:20" ht="14" hidden="1" outlineLevel="1" x14ac:dyDescent="0.15">
      <c r="A432" s="19"/>
      <c r="B432" s="23" t="s">
        <v>822</v>
      </c>
      <c r="C432" s="93">
        <f>-0.21-0.05</f>
        <v>-0.26</v>
      </c>
      <c r="D432" s="93">
        <f>-0.32-0.05</f>
        <v>-0.37</v>
      </c>
      <c r="E432" s="19" t="s">
        <v>205</v>
      </c>
      <c r="F432" s="19" t="s">
        <v>657</v>
      </c>
      <c r="G432" s="19"/>
      <c r="H432" s="19"/>
      <c r="I432" s="19"/>
      <c r="J432" s="19"/>
      <c r="K432" s="19"/>
      <c r="L432" s="19"/>
      <c r="M432" s="19"/>
      <c r="N432" s="19"/>
      <c r="O432" s="19"/>
      <c r="P432" s="19"/>
      <c r="Q432" s="19"/>
      <c r="R432" s="19"/>
      <c r="S432" s="19"/>
      <c r="T432" s="19"/>
    </row>
    <row r="433" spans="1:20" ht="14" hidden="1" outlineLevel="1" x14ac:dyDescent="0.15">
      <c r="A433" s="19"/>
      <c r="B433" s="23" t="s">
        <v>656</v>
      </c>
      <c r="C433" s="93">
        <f>-0.88-0.08</f>
        <v>-0.96</v>
      </c>
      <c r="D433" s="93">
        <f>-1.98-0.28</f>
        <v>-2.2599999999999998</v>
      </c>
      <c r="E433" s="19" t="s">
        <v>205</v>
      </c>
      <c r="F433" s="19" t="s">
        <v>638</v>
      </c>
      <c r="G433" s="19"/>
      <c r="H433" s="19"/>
      <c r="I433" s="19"/>
      <c r="J433" s="19"/>
      <c r="K433" s="19"/>
      <c r="L433" s="19"/>
      <c r="M433" s="19"/>
      <c r="N433" s="19"/>
      <c r="O433" s="19"/>
      <c r="P433" s="19"/>
      <c r="Q433" s="19"/>
      <c r="R433" s="19"/>
      <c r="S433" s="19"/>
      <c r="T433" s="19"/>
    </row>
    <row r="434" spans="1:20" ht="14" hidden="1" outlineLevel="1" x14ac:dyDescent="0.15">
      <c r="A434" s="19"/>
      <c r="B434" s="23" t="s">
        <v>823</v>
      </c>
      <c r="C434" s="74">
        <f>-1.05-0.08</f>
        <v>-1.1300000000000001</v>
      </c>
      <c r="D434" s="74">
        <f>-0.98-0.28</f>
        <v>-1.26</v>
      </c>
      <c r="E434" s="19" t="s">
        <v>205</v>
      </c>
      <c r="F434" s="19" t="s">
        <v>659</v>
      </c>
      <c r="G434" s="19"/>
      <c r="H434" s="19"/>
      <c r="I434" s="19"/>
      <c r="J434" s="19"/>
      <c r="K434" s="19"/>
      <c r="L434" s="19"/>
      <c r="M434" s="19"/>
      <c r="N434" s="19"/>
      <c r="O434" s="19"/>
      <c r="P434" s="19"/>
      <c r="Q434" s="19"/>
      <c r="R434" s="19"/>
      <c r="S434" s="19"/>
      <c r="T434" s="19"/>
    </row>
    <row r="435" spans="1:20" ht="14" hidden="1" outlineLevel="1" x14ac:dyDescent="0.15">
      <c r="A435" s="19"/>
      <c r="B435" s="23" t="s">
        <v>639</v>
      </c>
      <c r="C435" s="93">
        <f>-0.18</f>
        <v>-0.18</v>
      </c>
      <c r="D435" s="93">
        <f>-0.26</f>
        <v>-0.26</v>
      </c>
      <c r="E435" s="19" t="s">
        <v>205</v>
      </c>
      <c r="F435" s="19" t="s">
        <v>658</v>
      </c>
      <c r="G435" s="19"/>
      <c r="H435" s="19"/>
      <c r="I435" s="19"/>
      <c r="J435" s="19"/>
      <c r="K435" s="19"/>
      <c r="L435" s="19"/>
      <c r="M435" s="19"/>
      <c r="N435" s="19"/>
      <c r="O435" s="19"/>
      <c r="P435" s="19"/>
      <c r="Q435" s="19"/>
      <c r="R435" s="19"/>
      <c r="S435" s="19"/>
      <c r="T435" s="19"/>
    </row>
    <row r="436" spans="1:20" ht="14" hidden="1" outlineLevel="1" x14ac:dyDescent="0.15">
      <c r="A436" s="19"/>
      <c r="B436" s="23" t="s">
        <v>737</v>
      </c>
      <c r="C436" s="93">
        <v>0</v>
      </c>
      <c r="D436" s="93">
        <v>0</v>
      </c>
      <c r="E436" s="19" t="s">
        <v>205</v>
      </c>
      <c r="F436" s="19"/>
      <c r="G436" s="19"/>
      <c r="H436" s="19"/>
      <c r="I436" s="19"/>
      <c r="J436" s="19"/>
      <c r="K436" s="19"/>
      <c r="L436" s="19"/>
      <c r="M436" s="19"/>
      <c r="N436" s="19"/>
      <c r="O436" s="19"/>
      <c r="P436" s="19"/>
      <c r="Q436" s="19"/>
      <c r="R436" s="19"/>
      <c r="S436" s="19"/>
      <c r="T436" s="19"/>
    </row>
    <row r="437" spans="1:20" hidden="1" outlineLevel="1" x14ac:dyDescent="0.15">
      <c r="A437" s="19"/>
      <c r="B437" s="19"/>
      <c r="C437" s="19"/>
      <c r="D437" s="19"/>
      <c r="E437" s="19"/>
      <c r="F437" s="19"/>
      <c r="G437" s="19"/>
      <c r="H437" s="19"/>
      <c r="I437" s="19"/>
      <c r="J437" s="19"/>
      <c r="K437" s="19"/>
      <c r="L437" s="19"/>
      <c r="M437" s="19"/>
      <c r="N437" s="19"/>
      <c r="O437" s="19"/>
      <c r="P437" s="19"/>
      <c r="Q437" s="19"/>
      <c r="R437" s="19"/>
      <c r="S437" s="19"/>
      <c r="T437" s="19"/>
    </row>
    <row r="438" spans="1:20" hidden="1" outlineLevel="1" x14ac:dyDescent="0.15">
      <c r="A438" s="19"/>
      <c r="B438" s="76" t="s">
        <v>758</v>
      </c>
      <c r="C438" s="39"/>
      <c r="D438" s="39"/>
      <c r="E438" s="39"/>
      <c r="F438" s="39"/>
      <c r="G438" s="39"/>
      <c r="H438" s="39"/>
      <c r="I438" s="39"/>
      <c r="J438" s="39"/>
      <c r="K438" s="39"/>
      <c r="L438" s="39"/>
      <c r="M438" s="39"/>
      <c r="N438" s="39"/>
      <c r="O438" s="39"/>
      <c r="P438" s="39"/>
      <c r="Q438" s="19"/>
      <c r="R438" s="19"/>
      <c r="S438" s="19"/>
      <c r="T438" s="19"/>
    </row>
    <row r="439" spans="1:20" ht="15" hidden="1" outlineLevel="1" x14ac:dyDescent="0.2">
      <c r="A439" s="19"/>
      <c r="B439" s="228" t="s">
        <v>581</v>
      </c>
      <c r="C439" s="39"/>
      <c r="D439" s="39"/>
      <c r="E439" s="39"/>
      <c r="F439" s="39"/>
      <c r="G439" s="39"/>
      <c r="H439" s="39"/>
      <c r="I439" s="39"/>
      <c r="J439" s="39"/>
      <c r="K439" s="39"/>
      <c r="L439" s="39"/>
      <c r="M439" s="39"/>
      <c r="N439" s="39"/>
      <c r="O439" s="39"/>
      <c r="P439" s="39"/>
      <c r="Q439" s="19"/>
      <c r="R439" s="19"/>
      <c r="S439" s="19"/>
      <c r="T439" s="19"/>
    </row>
    <row r="440" spans="1:20" hidden="1" outlineLevel="1" x14ac:dyDescent="0.15">
      <c r="A440" s="19"/>
      <c r="B440" s="76" t="s">
        <v>645</v>
      </c>
      <c r="C440" s="39"/>
      <c r="D440" s="39"/>
      <c r="E440" s="39"/>
      <c r="F440" s="39"/>
      <c r="G440" s="39"/>
      <c r="H440" s="39"/>
      <c r="I440" s="39"/>
      <c r="J440" s="39"/>
      <c r="K440" s="39"/>
      <c r="L440" s="39"/>
      <c r="M440" s="39"/>
      <c r="N440" s="39"/>
      <c r="O440" s="39"/>
      <c r="P440" s="39"/>
      <c r="Q440" s="19"/>
      <c r="R440" s="19"/>
      <c r="S440" s="19"/>
      <c r="T440" s="19"/>
    </row>
    <row r="441" spans="1:20" ht="15" hidden="1" outlineLevel="1" x14ac:dyDescent="0.2">
      <c r="A441" s="19"/>
      <c r="B441" s="228" t="s">
        <v>601</v>
      </c>
      <c r="C441" s="39"/>
      <c r="D441" s="39"/>
      <c r="E441" s="39"/>
      <c r="F441" s="39"/>
      <c r="G441" s="39"/>
      <c r="H441" s="39"/>
      <c r="I441" s="39"/>
      <c r="J441" s="39"/>
      <c r="K441" s="39"/>
      <c r="L441" s="39"/>
      <c r="M441" s="39"/>
      <c r="N441" s="39"/>
      <c r="O441" s="39"/>
      <c r="P441" s="39"/>
      <c r="Q441" s="19"/>
      <c r="R441" s="19"/>
      <c r="S441" s="19"/>
      <c r="T441" s="19"/>
    </row>
    <row r="442" spans="1:20" ht="15" hidden="1" outlineLevel="1" x14ac:dyDescent="0.2">
      <c r="A442" s="19"/>
      <c r="B442" s="228" t="s">
        <v>602</v>
      </c>
      <c r="C442" s="39"/>
      <c r="D442" s="39"/>
      <c r="E442" s="39"/>
      <c r="F442" s="39"/>
      <c r="G442" s="39"/>
      <c r="H442" s="39"/>
      <c r="I442" s="39"/>
      <c r="J442" s="39"/>
      <c r="K442" s="39"/>
      <c r="L442" s="39"/>
      <c r="M442" s="39"/>
      <c r="N442" s="39"/>
      <c r="O442" s="39"/>
      <c r="P442" s="39"/>
      <c r="Q442" s="19"/>
      <c r="R442" s="19"/>
      <c r="S442" s="19"/>
      <c r="T442" s="19"/>
    </row>
    <row r="443" spans="1:20" hidden="1" outlineLevel="1" x14ac:dyDescent="0.15">
      <c r="A443" s="19"/>
      <c r="B443" s="19"/>
      <c r="C443" s="19"/>
      <c r="D443" s="19"/>
      <c r="E443" s="19"/>
      <c r="F443" s="19"/>
      <c r="G443" s="19"/>
      <c r="H443" s="19"/>
      <c r="I443" s="19"/>
      <c r="J443" s="19"/>
      <c r="K443" s="19"/>
      <c r="L443" s="19"/>
      <c r="M443" s="19"/>
      <c r="N443" s="19"/>
      <c r="O443" s="19"/>
      <c r="P443" s="19"/>
      <c r="Q443" s="19"/>
      <c r="R443" s="19"/>
      <c r="S443" s="19"/>
      <c r="T443" s="19"/>
    </row>
    <row r="444" spans="1:20" ht="14" hidden="1" outlineLevel="1" x14ac:dyDescent="0.15">
      <c r="A444" s="19"/>
      <c r="B444" s="37" t="s">
        <v>631</v>
      </c>
      <c r="C444" s="27" t="s">
        <v>498</v>
      </c>
      <c r="D444" s="27" t="s">
        <v>499</v>
      </c>
      <c r="E444" s="19"/>
      <c r="F444" s="19"/>
      <c r="G444" s="19" t="s">
        <v>125</v>
      </c>
      <c r="H444" s="19"/>
      <c r="I444" s="19" t="s">
        <v>125</v>
      </c>
      <c r="J444" s="19"/>
      <c r="K444" s="19"/>
      <c r="L444" s="19"/>
      <c r="M444" s="19"/>
      <c r="N444" s="19"/>
      <c r="O444" s="19"/>
      <c r="P444" s="19"/>
      <c r="Q444" s="19"/>
      <c r="R444" s="19"/>
      <c r="S444" s="19"/>
      <c r="T444" s="19"/>
    </row>
    <row r="445" spans="1:20" ht="14" hidden="1" outlineLevel="1" x14ac:dyDescent="0.15">
      <c r="A445" s="19"/>
      <c r="B445" s="27" t="s">
        <v>590</v>
      </c>
      <c r="C445" s="251">
        <v>0</v>
      </c>
      <c r="D445" s="251">
        <v>0</v>
      </c>
      <c r="E445" s="19" t="s">
        <v>763</v>
      </c>
      <c r="F445" s="19"/>
      <c r="G445" s="19"/>
      <c r="H445" s="19"/>
      <c r="I445" s="19"/>
      <c r="J445" s="19"/>
      <c r="K445" s="19"/>
      <c r="L445" s="19"/>
      <c r="M445" s="19"/>
      <c r="N445" s="19"/>
      <c r="O445" s="19"/>
      <c r="P445" s="19"/>
      <c r="Q445" s="19"/>
      <c r="R445" s="19"/>
      <c r="S445" s="19"/>
      <c r="T445" s="19"/>
    </row>
    <row r="446" spans="1:20" ht="14" hidden="1" outlineLevel="1" x14ac:dyDescent="0.15">
      <c r="A446" s="19"/>
      <c r="B446" s="27" t="s">
        <v>591</v>
      </c>
      <c r="C446" s="251">
        <v>0.17999999999999997</v>
      </c>
      <c r="D446" s="251">
        <v>0.10999999999999999</v>
      </c>
      <c r="E446" s="19" t="s">
        <v>763</v>
      </c>
      <c r="F446" s="19"/>
      <c r="G446" s="19"/>
      <c r="H446" s="19"/>
      <c r="I446" s="19"/>
      <c r="J446" s="19"/>
      <c r="K446" s="19"/>
      <c r="L446" s="19"/>
      <c r="M446" s="19"/>
      <c r="N446" s="19"/>
      <c r="O446" s="19"/>
      <c r="P446" s="19"/>
      <c r="Q446" s="19"/>
      <c r="R446" s="19"/>
      <c r="S446" s="19"/>
      <c r="T446" s="19"/>
    </row>
    <row r="447" spans="1:20" ht="14" hidden="1" outlineLevel="1" x14ac:dyDescent="0.15">
      <c r="A447" s="19"/>
      <c r="B447" s="27" t="s">
        <v>589</v>
      </c>
      <c r="C447" s="251">
        <v>0.35</v>
      </c>
      <c r="D447" s="251">
        <v>0.31</v>
      </c>
      <c r="E447" s="19" t="s">
        <v>763</v>
      </c>
      <c r="F447" s="19"/>
      <c r="G447" s="19"/>
      <c r="H447" s="19"/>
      <c r="I447" s="19"/>
      <c r="J447" s="19"/>
      <c r="K447" s="19"/>
      <c r="L447" s="19"/>
      <c r="M447" s="19"/>
      <c r="N447" s="19"/>
      <c r="O447" s="19"/>
      <c r="P447" s="19"/>
      <c r="Q447" s="19"/>
      <c r="R447" s="19"/>
      <c r="S447" s="19"/>
      <c r="T447" s="19"/>
    </row>
    <row r="448" spans="1:20" ht="14" hidden="1" outlineLevel="1" x14ac:dyDescent="0.15">
      <c r="A448" s="19"/>
      <c r="B448" s="27"/>
      <c r="C448" s="27"/>
      <c r="D448" s="27"/>
      <c r="E448" s="27"/>
      <c r="F448" s="19"/>
      <c r="G448" s="19"/>
      <c r="H448" s="19"/>
      <c r="I448" s="19"/>
      <c r="J448" s="19"/>
      <c r="K448" s="19"/>
      <c r="L448" s="19"/>
      <c r="M448" s="19"/>
      <c r="N448" s="19"/>
      <c r="O448" s="19"/>
      <c r="P448" s="19"/>
      <c r="Q448" s="19"/>
      <c r="R448" s="19"/>
      <c r="S448" s="19"/>
      <c r="T448" s="19"/>
    </row>
    <row r="449" spans="1:20" ht="30" hidden="1" outlineLevel="1" x14ac:dyDescent="0.15">
      <c r="A449" s="19"/>
      <c r="B449" s="321" t="s">
        <v>856</v>
      </c>
      <c r="C449" s="251">
        <v>-0.26</v>
      </c>
      <c r="D449" s="251">
        <v>-0.37</v>
      </c>
      <c r="E449" s="19" t="s">
        <v>763</v>
      </c>
      <c r="F449" s="19"/>
      <c r="G449" s="19" t="s">
        <v>860</v>
      </c>
      <c r="H449" s="19"/>
      <c r="I449" s="19" t="s">
        <v>764</v>
      </c>
      <c r="J449" s="19"/>
      <c r="K449" s="19"/>
      <c r="L449" s="19"/>
      <c r="M449" s="19"/>
      <c r="N449" s="19"/>
      <c r="O449" s="19"/>
      <c r="P449" s="19"/>
      <c r="Q449" s="19"/>
      <c r="R449" s="19"/>
      <c r="S449" s="19"/>
      <c r="T449" s="19"/>
    </row>
    <row r="450" spans="1:20" ht="30" hidden="1" outlineLevel="1" x14ac:dyDescent="0.15">
      <c r="A450" s="19"/>
      <c r="B450" s="321" t="s">
        <v>857</v>
      </c>
      <c r="C450" s="322">
        <f>0.5*C449</f>
        <v>-0.13</v>
      </c>
      <c r="D450" s="322">
        <f>0.5*D449</f>
        <v>-0.185</v>
      </c>
      <c r="E450" s="19" t="s">
        <v>763</v>
      </c>
      <c r="F450" s="19"/>
      <c r="G450" s="19" t="s">
        <v>861</v>
      </c>
      <c r="H450" s="19"/>
      <c r="I450" s="19"/>
      <c r="J450" s="19"/>
      <c r="K450" s="19"/>
      <c r="L450" s="19"/>
      <c r="M450" s="19"/>
      <c r="N450" s="19"/>
      <c r="O450" s="19"/>
      <c r="P450" s="19"/>
      <c r="Q450" s="19"/>
      <c r="R450" s="19"/>
      <c r="S450" s="19"/>
      <c r="T450" s="19"/>
    </row>
    <row r="451" spans="1:20" ht="15" hidden="1" outlineLevel="1" x14ac:dyDescent="0.15">
      <c r="A451" s="19"/>
      <c r="B451" s="321" t="s">
        <v>858</v>
      </c>
      <c r="C451" s="251">
        <v>-0.37</v>
      </c>
      <c r="D451" s="251">
        <v>-0.37</v>
      </c>
      <c r="E451" s="19" t="s">
        <v>763</v>
      </c>
      <c r="F451" s="19"/>
      <c r="G451" s="19" t="s">
        <v>859</v>
      </c>
      <c r="H451" s="19"/>
      <c r="I451" s="19" t="s">
        <v>764</v>
      </c>
      <c r="J451" s="19"/>
      <c r="K451" s="19"/>
      <c r="L451" s="19"/>
      <c r="M451" s="19"/>
      <c r="N451" s="19"/>
      <c r="O451" s="19"/>
      <c r="P451" s="19"/>
      <c r="Q451" s="19"/>
      <c r="R451" s="19"/>
      <c r="S451" s="19"/>
      <c r="T451" s="19"/>
    </row>
    <row r="452" spans="1:20" ht="60" hidden="1" outlineLevel="1" x14ac:dyDescent="0.15">
      <c r="A452" s="19"/>
      <c r="B452" s="321" t="s">
        <v>863</v>
      </c>
      <c r="C452" s="251">
        <v>-1.1300000000000001</v>
      </c>
      <c r="D452" s="251">
        <v>-1.26</v>
      </c>
      <c r="E452" s="19" t="s">
        <v>763</v>
      </c>
      <c r="F452" s="19"/>
      <c r="G452" s="19" t="s">
        <v>862</v>
      </c>
      <c r="H452" s="19"/>
      <c r="I452" s="19" t="s">
        <v>764</v>
      </c>
      <c r="J452" s="19"/>
      <c r="K452" s="19"/>
      <c r="L452" s="19"/>
      <c r="M452" s="19"/>
      <c r="N452" s="19"/>
      <c r="O452" s="19"/>
      <c r="P452" s="19"/>
      <c r="Q452" s="19"/>
      <c r="R452" s="19"/>
      <c r="S452" s="19"/>
      <c r="T452" s="19"/>
    </row>
    <row r="453" spans="1:20" ht="45" hidden="1" outlineLevel="1" x14ac:dyDescent="0.15">
      <c r="A453" s="19"/>
      <c r="B453" s="321" t="s">
        <v>864</v>
      </c>
      <c r="C453" s="251">
        <f>0.96</f>
        <v>0.96</v>
      </c>
      <c r="D453" s="251">
        <f>2.26</f>
        <v>2.2599999999999998</v>
      </c>
      <c r="E453" s="19" t="s">
        <v>763</v>
      </c>
      <c r="F453" s="19"/>
      <c r="G453" s="19"/>
      <c r="H453" s="19"/>
      <c r="I453" s="19" t="s">
        <v>766</v>
      </c>
      <c r="J453" s="19"/>
      <c r="K453" s="19"/>
      <c r="L453" s="19"/>
      <c r="M453" s="19"/>
      <c r="N453" s="19"/>
      <c r="O453" s="19"/>
      <c r="P453" s="19"/>
      <c r="Q453" s="19"/>
      <c r="R453" s="19"/>
      <c r="S453" s="19"/>
      <c r="T453" s="19"/>
    </row>
    <row r="454" spans="1:20" ht="30" hidden="1" outlineLevel="1" x14ac:dyDescent="0.15">
      <c r="A454" s="19"/>
      <c r="B454" s="321" t="s">
        <v>865</v>
      </c>
      <c r="C454" s="322">
        <f>C453*20</f>
        <v>19.2</v>
      </c>
      <c r="D454" s="322">
        <f>D453*20</f>
        <v>45.199999999999996</v>
      </c>
      <c r="E454" s="19" t="s">
        <v>763</v>
      </c>
      <c r="F454" s="19"/>
      <c r="G454" s="19"/>
      <c r="H454" s="19"/>
      <c r="I454" s="19" t="s">
        <v>765</v>
      </c>
      <c r="J454" s="19"/>
      <c r="K454" s="19"/>
      <c r="L454" s="19"/>
      <c r="M454" s="19"/>
      <c r="N454" s="19"/>
      <c r="O454" s="19"/>
      <c r="P454" s="19"/>
      <c r="Q454" s="19"/>
      <c r="R454" s="19"/>
      <c r="S454" s="19"/>
      <c r="T454" s="19"/>
    </row>
    <row r="455" spans="1:20" ht="42" hidden="1" customHeight="1" outlineLevel="1" x14ac:dyDescent="0.15">
      <c r="A455" s="19"/>
      <c r="B455" s="321" t="s">
        <v>866</v>
      </c>
      <c r="C455" s="251">
        <f>1.13</f>
        <v>1.1299999999999999</v>
      </c>
      <c r="D455" s="251">
        <f>1.26</f>
        <v>1.26</v>
      </c>
      <c r="E455" s="19" t="s">
        <v>763</v>
      </c>
      <c r="F455" s="19"/>
      <c r="G455" s="19"/>
      <c r="H455" s="19"/>
      <c r="I455" s="19" t="s">
        <v>766</v>
      </c>
      <c r="J455" s="19"/>
      <c r="K455" s="19"/>
      <c r="L455" s="19"/>
      <c r="M455" s="19"/>
      <c r="N455" s="19"/>
      <c r="O455" s="19"/>
      <c r="P455" s="19"/>
      <c r="Q455" s="19"/>
      <c r="R455" s="19"/>
      <c r="S455" s="19"/>
      <c r="T455" s="19"/>
    </row>
    <row r="456" spans="1:20" ht="30" hidden="1" outlineLevel="1" x14ac:dyDescent="0.15">
      <c r="A456" s="19"/>
      <c r="B456" s="321" t="s">
        <v>867</v>
      </c>
      <c r="C456" s="322">
        <f>C455*20</f>
        <v>22.599999999999998</v>
      </c>
      <c r="D456" s="322">
        <f>D455*20</f>
        <v>25.2</v>
      </c>
      <c r="E456" s="19" t="s">
        <v>763</v>
      </c>
      <c r="F456" s="19"/>
      <c r="G456" s="19"/>
      <c r="H456" s="19"/>
      <c r="I456" s="19" t="s">
        <v>765</v>
      </c>
      <c r="J456" s="19"/>
      <c r="K456" s="19"/>
      <c r="L456" s="19"/>
      <c r="M456" s="19"/>
      <c r="N456" s="19"/>
      <c r="O456" s="19"/>
      <c r="P456" s="19"/>
      <c r="Q456" s="19"/>
      <c r="R456" s="19"/>
      <c r="S456" s="19"/>
      <c r="T456" s="19"/>
    </row>
    <row r="457" spans="1:20" hidden="1" outlineLevel="1" x14ac:dyDescent="0.15">
      <c r="A457" s="19"/>
      <c r="B457" s="19"/>
      <c r="C457" s="19"/>
      <c r="D457" s="19"/>
      <c r="E457" s="19"/>
      <c r="F457" s="19"/>
      <c r="G457" s="19"/>
      <c r="H457" s="19"/>
      <c r="I457" s="19"/>
      <c r="J457" s="19"/>
      <c r="K457" s="19"/>
      <c r="L457" s="19"/>
      <c r="M457" s="19"/>
      <c r="N457" s="19"/>
      <c r="O457" s="19"/>
      <c r="P457" s="19"/>
      <c r="Q457" s="19"/>
      <c r="R457" s="19"/>
      <c r="S457" s="19"/>
      <c r="T457" s="19"/>
    </row>
    <row r="458" spans="1:20" hidden="1" outlineLevel="1" x14ac:dyDescent="0.15">
      <c r="A458" s="19"/>
      <c r="B458" s="76" t="s">
        <v>635</v>
      </c>
      <c r="C458" s="39"/>
      <c r="D458" s="39"/>
      <c r="E458" s="39"/>
      <c r="F458" s="39"/>
      <c r="G458" s="39"/>
      <c r="H458" s="39"/>
      <c r="I458" s="39"/>
      <c r="J458" s="39"/>
      <c r="K458" s="39"/>
      <c r="L458" s="39"/>
      <c r="M458" s="39"/>
      <c r="N458" s="39"/>
      <c r="O458" s="39"/>
      <c r="P458" s="39"/>
      <c r="Q458" s="19"/>
      <c r="R458" s="19"/>
      <c r="S458" s="19"/>
      <c r="T458" s="19"/>
    </row>
    <row r="459" spans="1:20" ht="15" hidden="1" outlineLevel="1" x14ac:dyDescent="0.2">
      <c r="A459" s="19"/>
      <c r="B459" s="228" t="s">
        <v>601</v>
      </c>
      <c r="C459" s="39"/>
      <c r="D459" s="39"/>
      <c r="E459" s="39"/>
      <c r="F459" s="39"/>
      <c r="G459" s="39"/>
      <c r="H459" s="39"/>
      <c r="I459" s="39"/>
      <c r="J459" s="39"/>
      <c r="K459" s="39"/>
      <c r="L459" s="39"/>
      <c r="M459" s="39"/>
      <c r="N459" s="39"/>
      <c r="O459" s="39"/>
      <c r="P459" s="39"/>
      <c r="Q459" s="19"/>
      <c r="R459" s="19"/>
      <c r="S459" s="19"/>
      <c r="T459" s="19"/>
    </row>
    <row r="460" spans="1:20" ht="15" hidden="1" outlineLevel="1" x14ac:dyDescent="0.2">
      <c r="A460" s="19"/>
      <c r="B460" s="228" t="s">
        <v>602</v>
      </c>
      <c r="C460" s="39"/>
      <c r="D460" s="39"/>
      <c r="E460" s="39"/>
      <c r="F460" s="39"/>
      <c r="G460" s="39"/>
      <c r="H460" s="39"/>
      <c r="I460" s="39"/>
      <c r="J460" s="39"/>
      <c r="K460" s="39"/>
      <c r="L460" s="39"/>
      <c r="M460" s="39"/>
      <c r="N460" s="39"/>
      <c r="O460" s="39"/>
      <c r="P460" s="39"/>
      <c r="Q460" s="19"/>
      <c r="R460" s="19"/>
      <c r="S460" s="19"/>
      <c r="T460" s="19"/>
    </row>
    <row r="461" spans="1:20" hidden="1" outlineLevel="1" x14ac:dyDescent="0.15">
      <c r="A461" s="19"/>
      <c r="B461" s="19"/>
      <c r="C461" s="19"/>
      <c r="D461" s="19"/>
      <c r="E461" s="19"/>
      <c r="F461" s="19"/>
      <c r="G461" s="19"/>
      <c r="H461" s="19"/>
      <c r="I461" s="19"/>
      <c r="J461" s="19"/>
      <c r="K461" s="19"/>
      <c r="L461" s="19"/>
      <c r="M461" s="19"/>
      <c r="N461" s="19"/>
      <c r="O461" s="19"/>
      <c r="P461" s="19"/>
      <c r="Q461" s="19"/>
      <c r="R461" s="19"/>
      <c r="S461" s="19"/>
      <c r="T461" s="19"/>
    </row>
    <row r="462" spans="1:20" collapsed="1" x14ac:dyDescent="0.15">
      <c r="A462" s="19"/>
      <c r="B462" s="70" t="s">
        <v>112</v>
      </c>
      <c r="C462" s="19"/>
      <c r="D462" s="19"/>
      <c r="E462" s="19"/>
      <c r="F462" s="19"/>
      <c r="G462" s="19"/>
      <c r="H462" s="19"/>
      <c r="I462" s="19"/>
      <c r="J462" s="19"/>
      <c r="K462" s="19"/>
      <c r="L462" s="19"/>
      <c r="M462" s="19"/>
      <c r="N462" s="19"/>
      <c r="O462" s="19"/>
      <c r="P462" s="19"/>
      <c r="Q462" s="19"/>
      <c r="R462" s="19"/>
      <c r="S462" s="19"/>
      <c r="T462" s="19"/>
    </row>
    <row r="463" spans="1:20" x14ac:dyDescent="0.15">
      <c r="A463" s="19"/>
      <c r="B463" s="19"/>
      <c r="C463" s="19"/>
      <c r="D463" s="19"/>
      <c r="E463" s="19"/>
      <c r="F463" s="19"/>
      <c r="G463" s="19"/>
      <c r="H463" s="19"/>
      <c r="I463" s="19"/>
      <c r="J463" s="19"/>
      <c r="K463" s="19"/>
      <c r="L463" s="19"/>
      <c r="M463" s="19"/>
      <c r="N463" s="19"/>
      <c r="O463" s="19"/>
      <c r="P463" s="19"/>
      <c r="Q463" s="19"/>
      <c r="R463" s="19"/>
      <c r="S463" s="19"/>
      <c r="T463" s="19"/>
    </row>
    <row r="464" spans="1:20" ht="14" x14ac:dyDescent="0.15">
      <c r="A464" s="19"/>
      <c r="B464" s="37" t="s">
        <v>923</v>
      </c>
      <c r="C464" s="19"/>
      <c r="D464" s="19"/>
      <c r="E464" s="19"/>
      <c r="F464" s="19"/>
      <c r="G464" s="19"/>
      <c r="H464" s="19"/>
      <c r="I464" s="19"/>
      <c r="J464" s="19"/>
      <c r="K464" s="19"/>
      <c r="L464" s="19"/>
      <c r="M464" s="19"/>
      <c r="N464" s="19"/>
      <c r="O464" s="19"/>
      <c r="P464" s="19"/>
      <c r="Q464" s="19"/>
      <c r="R464" s="19"/>
      <c r="S464" s="19"/>
      <c r="T464" s="19"/>
    </row>
    <row r="465" spans="1:20" hidden="1" outlineLevel="1" x14ac:dyDescent="0.15">
      <c r="A465" s="19"/>
      <c r="B465" s="19"/>
      <c r="C465" s="19"/>
      <c r="D465" s="19"/>
      <c r="E465" s="19"/>
      <c r="F465" s="19"/>
      <c r="G465" s="19"/>
      <c r="H465" s="19"/>
      <c r="I465" s="19"/>
      <c r="J465" s="19"/>
      <c r="K465" s="19"/>
      <c r="L465" s="19"/>
      <c r="M465" s="19"/>
      <c r="N465" s="19"/>
      <c r="O465" s="19"/>
      <c r="P465" s="19"/>
      <c r="Q465" s="19"/>
      <c r="R465" s="19"/>
      <c r="S465" s="19"/>
      <c r="T465" s="19"/>
    </row>
    <row r="466" spans="1:20" ht="42" hidden="1" outlineLevel="1" x14ac:dyDescent="0.15">
      <c r="A466" s="19"/>
      <c r="B466" s="321"/>
      <c r="C466" s="95" t="s">
        <v>930</v>
      </c>
      <c r="D466" s="95" t="s">
        <v>899</v>
      </c>
      <c r="E466" s="19" t="s">
        <v>421</v>
      </c>
      <c r="F466" s="19"/>
      <c r="G466" s="19"/>
      <c r="H466" s="19"/>
      <c r="I466" s="19"/>
      <c r="J466" s="19"/>
      <c r="K466" s="19"/>
      <c r="L466" s="19"/>
      <c r="M466" s="19"/>
      <c r="N466" s="19"/>
      <c r="O466" s="19"/>
      <c r="P466" s="19"/>
      <c r="Q466" s="19"/>
      <c r="R466" s="19"/>
      <c r="S466" s="19"/>
      <c r="T466" s="19"/>
    </row>
    <row r="467" spans="1:20" ht="16" hidden="1" outlineLevel="1" x14ac:dyDescent="0.2">
      <c r="A467" s="19"/>
      <c r="B467" s="321" t="s">
        <v>922</v>
      </c>
      <c r="C467" s="461">
        <f>0.06/720</f>
        <v>8.3333333333333331E-5</v>
      </c>
      <c r="D467" s="462">
        <f>C467*C25*12</f>
        <v>9.0718500000000002E-4</v>
      </c>
      <c r="E467" s="19" t="s">
        <v>932</v>
      </c>
      <c r="F467" s="249"/>
      <c r="G467" s="426"/>
      <c r="H467" s="19"/>
      <c r="I467" s="19"/>
      <c r="J467" s="19"/>
      <c r="K467" s="19"/>
      <c r="L467" s="19"/>
      <c r="M467" s="19"/>
      <c r="N467" s="19"/>
      <c r="O467" s="19"/>
      <c r="P467" s="19"/>
      <c r="Q467" s="19"/>
      <c r="R467" s="19"/>
      <c r="S467" s="19"/>
      <c r="T467" s="19"/>
    </row>
    <row r="468" spans="1:20" hidden="1" outlineLevel="1" x14ac:dyDescent="0.15">
      <c r="A468" s="19"/>
      <c r="B468" s="19"/>
      <c r="C468" s="19"/>
      <c r="D468" s="19"/>
      <c r="E468" s="19"/>
      <c r="F468" s="19"/>
      <c r="G468" s="19"/>
      <c r="H468" s="19"/>
      <c r="I468" s="19"/>
      <c r="J468" s="19"/>
      <c r="K468" s="19"/>
      <c r="L468" s="19"/>
      <c r="M468" s="19"/>
      <c r="N468" s="19"/>
      <c r="O468" s="19"/>
      <c r="P468" s="19"/>
      <c r="Q468" s="19"/>
      <c r="R468" s="19"/>
      <c r="S468" s="19"/>
      <c r="T468" s="19"/>
    </row>
    <row r="469" spans="1:20" hidden="1" outlineLevel="1" x14ac:dyDescent="0.15">
      <c r="A469" s="19"/>
      <c r="B469" s="76" t="s">
        <v>939</v>
      </c>
      <c r="C469" s="39"/>
      <c r="D469" s="39"/>
      <c r="E469" s="39"/>
      <c r="F469" s="39"/>
      <c r="G469" s="39"/>
      <c r="H469" s="39"/>
      <c r="I469" s="39"/>
      <c r="J469" s="39"/>
      <c r="K469" s="39"/>
      <c r="L469" s="39"/>
      <c r="M469" s="39"/>
      <c r="N469" s="39"/>
      <c r="O469" s="39"/>
      <c r="P469" s="39"/>
      <c r="Q469" s="19"/>
      <c r="R469" s="19"/>
      <c r="S469" s="19"/>
      <c r="T469" s="19"/>
    </row>
    <row r="470" spans="1:20" ht="15" hidden="1" outlineLevel="1" x14ac:dyDescent="0.2">
      <c r="A470" s="19"/>
      <c r="B470" s="228" t="s">
        <v>928</v>
      </c>
      <c r="C470" s="39"/>
      <c r="D470" s="39"/>
      <c r="E470" s="39"/>
      <c r="F470" s="39"/>
      <c r="G470" s="39"/>
      <c r="H470" s="39"/>
      <c r="I470" s="39"/>
      <c r="J470" s="39"/>
      <c r="K470" s="39"/>
      <c r="L470" s="39"/>
      <c r="M470" s="39"/>
      <c r="N470" s="39"/>
      <c r="O470" s="39"/>
      <c r="P470" s="39"/>
      <c r="Q470" s="19"/>
      <c r="R470" s="19"/>
      <c r="S470" s="19"/>
      <c r="T470" s="19"/>
    </row>
    <row r="471" spans="1:20" hidden="1" outlineLevel="1" x14ac:dyDescent="0.15">
      <c r="A471" s="19"/>
      <c r="B471" s="76" t="s">
        <v>931</v>
      </c>
      <c r="C471" s="39"/>
      <c r="D471" s="39"/>
      <c r="E471" s="39"/>
      <c r="F471" s="39"/>
      <c r="G471" s="39"/>
      <c r="H471" s="39"/>
      <c r="I471" s="39"/>
      <c r="J471" s="39"/>
      <c r="K471" s="39"/>
      <c r="L471" s="39"/>
      <c r="M471" s="39"/>
      <c r="N471" s="39"/>
      <c r="O471" s="39"/>
      <c r="P471" s="39"/>
      <c r="Q471" s="19"/>
      <c r="R471" s="19"/>
      <c r="S471" s="19"/>
      <c r="T471" s="19"/>
    </row>
    <row r="472" spans="1:20" ht="15" hidden="1" outlineLevel="1" x14ac:dyDescent="0.2">
      <c r="A472" s="19"/>
      <c r="B472" s="228" t="s">
        <v>929</v>
      </c>
      <c r="C472" s="39"/>
      <c r="D472" s="39"/>
      <c r="E472" s="39"/>
      <c r="F472" s="39"/>
      <c r="G472" s="39"/>
      <c r="H472" s="39"/>
      <c r="I472" s="39"/>
      <c r="J472" s="39"/>
      <c r="K472" s="39"/>
      <c r="L472" s="39"/>
      <c r="M472" s="39"/>
      <c r="N472" s="39"/>
      <c r="O472" s="39"/>
      <c r="P472" s="39"/>
      <c r="Q472" s="19"/>
      <c r="R472" s="19"/>
      <c r="S472" s="19"/>
      <c r="T472" s="19"/>
    </row>
    <row r="473" spans="1:20" hidden="1" outlineLevel="1" x14ac:dyDescent="0.15">
      <c r="A473" s="19"/>
      <c r="B473" s="19"/>
      <c r="C473" s="19"/>
      <c r="D473" s="19"/>
      <c r="E473" s="19"/>
      <c r="F473" s="19"/>
      <c r="G473" s="19"/>
      <c r="H473" s="19"/>
      <c r="I473" s="19"/>
      <c r="J473" s="19"/>
      <c r="K473" s="19"/>
      <c r="L473" s="19"/>
      <c r="M473" s="19"/>
      <c r="N473" s="19"/>
      <c r="O473" s="19"/>
      <c r="P473" s="19"/>
      <c r="Q473" s="19"/>
      <c r="R473" s="19"/>
      <c r="S473" s="19"/>
      <c r="T473" s="19"/>
    </row>
    <row r="474" spans="1:20" collapsed="1" x14ac:dyDescent="0.15">
      <c r="A474" s="19"/>
      <c r="B474" s="70" t="s">
        <v>112</v>
      </c>
      <c r="C474" s="19"/>
      <c r="D474" s="19"/>
      <c r="E474" s="19"/>
      <c r="F474" s="19"/>
      <c r="G474" s="19"/>
      <c r="H474" s="19"/>
      <c r="I474" s="19"/>
      <c r="J474" s="19"/>
      <c r="K474" s="19"/>
      <c r="L474" s="19"/>
      <c r="M474" s="19"/>
      <c r="N474" s="19"/>
      <c r="O474" s="19"/>
      <c r="P474" s="19"/>
      <c r="Q474" s="19"/>
      <c r="R474" s="19"/>
      <c r="S474" s="19"/>
      <c r="T474" s="19"/>
    </row>
    <row r="475" spans="1:20" x14ac:dyDescent="0.15">
      <c r="A475" s="19"/>
      <c r="B475" s="19"/>
      <c r="C475" s="19"/>
      <c r="D475" s="19"/>
      <c r="E475" s="19"/>
      <c r="F475" s="19"/>
      <c r="G475" s="19"/>
      <c r="H475" s="19"/>
      <c r="I475" s="19"/>
      <c r="J475" s="19"/>
      <c r="K475" s="19"/>
      <c r="L475" s="19"/>
      <c r="M475" s="19"/>
      <c r="N475" s="19"/>
      <c r="O475" s="19"/>
      <c r="P475" s="19"/>
      <c r="Q475" s="19"/>
      <c r="R475" s="19"/>
      <c r="S475" s="19"/>
      <c r="T475" s="19"/>
    </row>
    <row r="476" spans="1:20" ht="14" x14ac:dyDescent="0.15">
      <c r="A476" s="19"/>
      <c r="B476" s="99" t="s">
        <v>940</v>
      </c>
      <c r="C476" s="19"/>
      <c r="D476" s="19"/>
      <c r="E476" s="19"/>
      <c r="F476" s="19"/>
      <c r="G476" s="19"/>
      <c r="H476" s="19"/>
      <c r="I476" s="19"/>
      <c r="J476" s="19"/>
      <c r="K476" s="19"/>
      <c r="L476" s="19"/>
      <c r="M476" s="19"/>
      <c r="N476" s="19"/>
      <c r="O476" s="19"/>
      <c r="P476" s="19"/>
      <c r="Q476" s="19"/>
      <c r="R476" s="19"/>
      <c r="S476" s="19"/>
      <c r="T476" s="19"/>
    </row>
    <row r="477" spans="1:20" x14ac:dyDescent="0.15">
      <c r="A477" s="19"/>
      <c r="B477" s="19"/>
      <c r="C477" s="19"/>
      <c r="D477" s="19"/>
      <c r="E477" s="19"/>
      <c r="F477" s="19"/>
      <c r="G477" s="19"/>
      <c r="H477" s="19"/>
      <c r="I477" s="19"/>
      <c r="J477" s="19"/>
      <c r="K477" s="19"/>
      <c r="L477" s="19"/>
      <c r="M477" s="19"/>
      <c r="N477" s="19"/>
      <c r="O477" s="19"/>
      <c r="P477" s="19"/>
      <c r="Q477" s="19"/>
      <c r="R477" s="19"/>
      <c r="S477" s="19"/>
      <c r="T477" s="19"/>
    </row>
    <row r="478" spans="1:20" x14ac:dyDescent="0.15">
      <c r="A478" s="19"/>
      <c r="B478" s="19"/>
      <c r="C478" s="19"/>
      <c r="D478" s="19"/>
      <c r="E478" s="19"/>
      <c r="F478" s="19"/>
      <c r="G478" s="19"/>
      <c r="H478" s="19"/>
      <c r="I478" s="19"/>
      <c r="J478" s="19"/>
      <c r="K478" s="19"/>
      <c r="L478" s="19"/>
      <c r="M478" s="19"/>
      <c r="N478" s="19"/>
      <c r="O478" s="19"/>
      <c r="P478" s="19"/>
      <c r="Q478" s="19"/>
      <c r="R478" s="19"/>
      <c r="S478" s="19"/>
      <c r="T478" s="19"/>
    </row>
    <row r="479" spans="1:20" x14ac:dyDescent="0.15">
      <c r="A479" s="19"/>
      <c r="B479" s="19"/>
      <c r="C479" s="19"/>
      <c r="D479" s="19"/>
      <c r="E479" s="19"/>
      <c r="F479" s="19"/>
      <c r="G479" s="19"/>
      <c r="H479" s="19"/>
      <c r="I479" s="19"/>
      <c r="J479" s="19"/>
      <c r="K479" s="19"/>
      <c r="L479" s="19"/>
      <c r="M479" s="19"/>
      <c r="N479" s="19"/>
      <c r="O479" s="19"/>
      <c r="P479" s="19"/>
      <c r="Q479" s="19"/>
      <c r="R479" s="19"/>
      <c r="S479" s="19"/>
      <c r="T479" s="19"/>
    </row>
    <row r="480" spans="1:20" x14ac:dyDescent="0.15">
      <c r="A480" s="19"/>
      <c r="B480" s="19"/>
      <c r="C480" s="19"/>
      <c r="D480" s="19"/>
      <c r="E480" s="19"/>
      <c r="F480" s="19"/>
      <c r="G480" s="19"/>
      <c r="H480" s="19"/>
      <c r="I480" s="19"/>
      <c r="J480" s="19"/>
      <c r="K480" s="19"/>
      <c r="L480" s="19"/>
      <c r="M480" s="19"/>
      <c r="N480" s="19"/>
      <c r="O480" s="19"/>
      <c r="P480" s="19"/>
      <c r="Q480" s="19"/>
      <c r="R480" s="19"/>
      <c r="S480" s="19"/>
      <c r="T480" s="19"/>
    </row>
    <row r="481" spans="1:20" x14ac:dyDescent="0.15">
      <c r="A481" s="19"/>
      <c r="B481" s="19"/>
      <c r="C481" s="19"/>
      <c r="D481" s="19"/>
      <c r="E481" s="19"/>
      <c r="F481" s="19"/>
      <c r="G481" s="19"/>
      <c r="H481" s="19"/>
      <c r="I481" s="19"/>
      <c r="J481" s="19"/>
      <c r="K481" s="19"/>
      <c r="L481" s="19"/>
      <c r="M481" s="19"/>
      <c r="N481" s="19"/>
      <c r="O481" s="19"/>
      <c r="P481" s="19"/>
      <c r="Q481" s="19"/>
      <c r="R481" s="19"/>
      <c r="S481" s="19"/>
      <c r="T481" s="19"/>
    </row>
    <row r="482" spans="1:20" x14ac:dyDescent="0.15">
      <c r="A482" s="19"/>
      <c r="B482" s="19"/>
      <c r="C482" s="19"/>
      <c r="D482" s="19"/>
      <c r="E482" s="19"/>
      <c r="F482" s="19"/>
      <c r="G482" s="19"/>
      <c r="H482" s="19"/>
      <c r="I482" s="19"/>
      <c r="J482" s="19"/>
      <c r="K482" s="19"/>
      <c r="L482" s="19"/>
      <c r="M482" s="19"/>
      <c r="N482" s="19"/>
      <c r="O482" s="19"/>
      <c r="P482" s="19"/>
      <c r="Q482" s="19"/>
      <c r="R482" s="19"/>
      <c r="S482" s="19"/>
      <c r="T482" s="19"/>
    </row>
    <row r="483" spans="1:20" x14ac:dyDescent="0.15">
      <c r="A483" s="19"/>
      <c r="B483" s="19"/>
      <c r="C483" s="19"/>
      <c r="D483" s="19"/>
      <c r="E483" s="19"/>
      <c r="F483" s="19"/>
      <c r="G483" s="19"/>
      <c r="H483" s="19"/>
      <c r="I483" s="19"/>
      <c r="J483" s="19"/>
      <c r="K483" s="19"/>
      <c r="L483" s="19"/>
      <c r="M483" s="19"/>
      <c r="N483" s="19"/>
      <c r="O483" s="19"/>
      <c r="P483" s="19"/>
      <c r="Q483" s="19"/>
      <c r="R483" s="19"/>
      <c r="S483" s="19"/>
      <c r="T483" s="19"/>
    </row>
    <row r="484" spans="1:20" ht="16" x14ac:dyDescent="0.2">
      <c r="A484" s="19"/>
      <c r="B484" s="20" t="s">
        <v>451</v>
      </c>
      <c r="C484" s="19"/>
      <c r="D484" s="19"/>
      <c r="E484" s="19"/>
      <c r="F484" s="19"/>
      <c r="G484" s="19"/>
      <c r="H484" s="19"/>
      <c r="I484" s="19"/>
      <c r="J484" s="19"/>
      <c r="K484" s="19"/>
      <c r="L484" s="19"/>
      <c r="M484" s="19"/>
      <c r="N484" s="19"/>
      <c r="O484" s="19"/>
      <c r="P484" s="19"/>
      <c r="Q484" s="19"/>
      <c r="R484" s="19"/>
      <c r="S484" s="19"/>
      <c r="T484" s="19"/>
    </row>
    <row r="485" spans="1:20" x14ac:dyDescent="0.15">
      <c r="A485" s="19"/>
      <c r="B485" s="19" t="s">
        <v>452</v>
      </c>
      <c r="C485" s="19"/>
      <c r="D485" s="19"/>
      <c r="E485" s="19"/>
      <c r="F485" s="19"/>
      <c r="G485" s="19"/>
      <c r="H485" s="19"/>
      <c r="I485" s="19"/>
      <c r="J485" s="19"/>
      <c r="K485" s="19" t="s">
        <v>453</v>
      </c>
      <c r="L485" s="19"/>
      <c r="M485" s="19"/>
      <c r="N485" s="19"/>
      <c r="O485" s="19"/>
      <c r="P485" s="19"/>
      <c r="Q485" s="19"/>
      <c r="R485" s="19"/>
      <c r="S485" s="19"/>
      <c r="T485" s="19"/>
    </row>
    <row r="486" spans="1:20" ht="56" x14ac:dyDescent="0.15">
      <c r="A486" s="19"/>
      <c r="B486" s="73"/>
      <c r="C486" s="108" t="s">
        <v>446</v>
      </c>
      <c r="D486" s="109" t="s">
        <v>440</v>
      </c>
      <c r="E486" s="109" t="s">
        <v>528</v>
      </c>
      <c r="F486" s="109" t="s">
        <v>529</v>
      </c>
      <c r="G486" s="19"/>
      <c r="H486" s="19"/>
      <c r="I486" s="19"/>
      <c r="J486" s="19"/>
      <c r="K486" s="19"/>
      <c r="L486" s="108" t="s">
        <v>449</v>
      </c>
      <c r="M486" s="19"/>
      <c r="N486" s="19"/>
      <c r="O486" s="19"/>
      <c r="P486" s="19"/>
      <c r="Q486" s="19"/>
      <c r="R486" s="19"/>
      <c r="S486" s="19"/>
      <c r="T486" s="19"/>
    </row>
    <row r="487" spans="1:20" x14ac:dyDescent="0.15">
      <c r="A487" s="19"/>
      <c r="B487" s="19" t="str">
        <f t="shared" ref="B487:B493" si="6">B211</f>
        <v>Medium- and heavy-duty truck</v>
      </c>
      <c r="C487" s="110">
        <f>D211+((E211*$C$75)/1000)+((F211*$C$76)/1000)</f>
        <v>1.4700420000000001</v>
      </c>
      <c r="D487" s="19"/>
      <c r="E487" s="19"/>
      <c r="F487" s="19"/>
      <c r="G487" s="84" t="s">
        <v>447</v>
      </c>
      <c r="H487" s="19"/>
      <c r="I487" s="19"/>
      <c r="J487" s="19"/>
      <c r="K487" s="19" t="str">
        <f t="shared" ref="K487:K493" si="7">B189</f>
        <v>Intercity rail</v>
      </c>
      <c r="L487" s="110">
        <f t="shared" ref="L487:L493" si="8">E189+((F189*$C$75)/1000)+((G189*$C$76)/1000)</f>
        <v>0.14106510000000003</v>
      </c>
      <c r="M487" s="19"/>
      <c r="N487" s="19"/>
      <c r="O487" s="19"/>
      <c r="P487" s="19"/>
      <c r="Q487" s="19"/>
      <c r="R487" s="19"/>
      <c r="S487" s="19"/>
      <c r="T487" s="19"/>
    </row>
    <row r="488" spans="1:20" x14ac:dyDescent="0.15">
      <c r="A488" s="19"/>
      <c r="B488" s="19" t="str">
        <f t="shared" si="6"/>
        <v>Passenger car*</v>
      </c>
      <c r="C488" s="110">
        <f>D212+((E212*$C$75)/1000)+((F212*$C$76)/1000)</f>
        <v>0.346447</v>
      </c>
      <c r="D488" s="19"/>
      <c r="E488" s="19"/>
      <c r="F488" s="19"/>
      <c r="G488" s="84" t="s">
        <v>447</v>
      </c>
      <c r="H488" s="19"/>
      <c r="I488" s="19"/>
      <c r="J488" s="19"/>
      <c r="K488" s="19" t="str">
        <f t="shared" si="7"/>
        <v>Commuter rail</v>
      </c>
      <c r="L488" s="110">
        <f t="shared" si="8"/>
        <v>0.16207479999999999</v>
      </c>
      <c r="M488" s="19"/>
      <c r="N488" s="19"/>
      <c r="O488" s="19"/>
      <c r="P488" s="19"/>
      <c r="Q488" s="19"/>
      <c r="R488" s="19"/>
      <c r="S488" s="19"/>
      <c r="T488" s="19"/>
    </row>
    <row r="489" spans="1:20" x14ac:dyDescent="0.15">
      <c r="A489" s="19"/>
      <c r="B489" s="19" t="str">
        <f t="shared" si="6"/>
        <v>Light-duty truck**</v>
      </c>
      <c r="C489" s="110">
        <f>D213+((E213*$C$75)/1000)+((F213*$C$76)/1000)</f>
        <v>0.47730199999999995</v>
      </c>
      <c r="D489" s="109"/>
      <c r="E489" s="109"/>
      <c r="F489" s="109"/>
      <c r="G489" s="84" t="s">
        <v>447</v>
      </c>
      <c r="H489" s="19"/>
      <c r="I489" s="19"/>
      <c r="J489" s="19"/>
      <c r="K489" s="19" t="str">
        <f t="shared" si="7"/>
        <v>Transit rail</v>
      </c>
      <c r="L489" s="110">
        <f t="shared" si="8"/>
        <v>0.1195205</v>
      </c>
      <c r="M489" s="19"/>
      <c r="N489" s="19"/>
      <c r="O489" s="19"/>
      <c r="P489" s="19"/>
      <c r="Q489" s="19"/>
      <c r="R489" s="19"/>
      <c r="S489" s="19"/>
      <c r="T489" s="19"/>
    </row>
    <row r="490" spans="1:20" x14ac:dyDescent="0.15">
      <c r="A490" s="19"/>
      <c r="B490" s="19" t="str">
        <f t="shared" si="6"/>
        <v>Medium- and heavy-duty truck</v>
      </c>
      <c r="C490" s="111">
        <f>SUM(D490:F490)</f>
        <v>0.20245350000000001</v>
      </c>
      <c r="D490" s="111">
        <f>D214/$C$25</f>
        <v>0.20200000000000001</v>
      </c>
      <c r="E490" s="112">
        <f>((E214/$C$25)*$C$75)/1000</f>
        <v>5.5999999999999999E-5</v>
      </c>
      <c r="F490" s="112">
        <f>((F214/$C$25)*$C$76)/1000</f>
        <v>3.9750000000000001E-4</v>
      </c>
      <c r="G490" s="113" t="s">
        <v>454</v>
      </c>
      <c r="H490" s="19"/>
      <c r="I490" s="19"/>
      <c r="J490" s="19"/>
      <c r="K490" s="19" t="str">
        <f t="shared" si="7"/>
        <v>Bus</v>
      </c>
      <c r="L490" s="110">
        <f t="shared" si="8"/>
        <v>5.6274900000000003E-2</v>
      </c>
      <c r="M490" s="19"/>
      <c r="N490" s="19"/>
      <c r="O490" s="19"/>
      <c r="P490" s="19"/>
      <c r="Q490" s="19"/>
      <c r="R490" s="19"/>
      <c r="S490" s="19"/>
      <c r="T490" s="19"/>
    </row>
    <row r="491" spans="1:20" x14ac:dyDescent="0.15">
      <c r="A491" s="19"/>
      <c r="B491" s="19" t="str">
        <f t="shared" si="6"/>
        <v>Rail</v>
      </c>
      <c r="C491" s="111">
        <f>SUM(D491:F491)</f>
        <v>2.3209399999999998E-2</v>
      </c>
      <c r="D491" s="111">
        <f>D215/$C$25</f>
        <v>2.3E-2</v>
      </c>
      <c r="E491" s="112">
        <f>((E215/$C$25)*$C$75)/1000</f>
        <v>5.0399999999999999E-5</v>
      </c>
      <c r="F491" s="112">
        <f>((F215/$C$25)*$C$76)/1000</f>
        <v>1.5900000000000002E-4</v>
      </c>
      <c r="G491" s="113" t="s">
        <v>454</v>
      </c>
      <c r="H491" s="19"/>
      <c r="I491" s="19"/>
      <c r="J491" s="19"/>
      <c r="K491" s="19" t="str">
        <f t="shared" si="7"/>
        <v>Air travel: less than 300 mile trip</v>
      </c>
      <c r="L491" s="110">
        <f t="shared" si="8"/>
        <v>0.2270172</v>
      </c>
      <c r="M491" s="19"/>
      <c r="N491" s="19"/>
      <c r="O491" s="19"/>
      <c r="P491" s="19"/>
      <c r="Q491" s="19"/>
      <c r="R491" s="19"/>
      <c r="S491" s="19"/>
      <c r="T491" s="19"/>
    </row>
    <row r="492" spans="1:20" x14ac:dyDescent="0.15">
      <c r="A492" s="19"/>
      <c r="B492" s="19" t="str">
        <f t="shared" si="6"/>
        <v>Waterborne Craft (Ocean freight)</v>
      </c>
      <c r="C492" s="111">
        <f>SUM(D492:F492)</f>
        <v>6.0073999999999995E-2</v>
      </c>
      <c r="D492" s="111">
        <f>D216/$C$25</f>
        <v>5.8999999999999997E-2</v>
      </c>
      <c r="E492" s="112">
        <f>((E216/$C$25)*$C$75)/1000</f>
        <v>1.4E-5</v>
      </c>
      <c r="F492" s="112">
        <f>((F216/$C$25)*$C$76)/1000</f>
        <v>1.06E-3</v>
      </c>
      <c r="G492" s="113" t="s">
        <v>454</v>
      </c>
      <c r="H492" s="19"/>
      <c r="I492" s="19"/>
      <c r="J492" s="19"/>
      <c r="K492" s="19" t="str">
        <f t="shared" si="7"/>
        <v>Air travel: 300-2300 mile trip</v>
      </c>
      <c r="L492" s="110">
        <f t="shared" si="8"/>
        <v>0.13715630000000001</v>
      </c>
      <c r="M492" s="19"/>
      <c r="N492" s="19"/>
      <c r="O492" s="19"/>
      <c r="P492" s="19"/>
      <c r="Q492" s="19"/>
      <c r="R492" s="19"/>
      <c r="S492" s="19"/>
      <c r="T492" s="19"/>
    </row>
    <row r="493" spans="1:20" x14ac:dyDescent="0.15">
      <c r="A493" s="19"/>
      <c r="B493" s="19" t="str">
        <f t="shared" si="6"/>
        <v>Aircraft</v>
      </c>
      <c r="C493" s="111">
        <f>SUM(D493:F493)</f>
        <v>1.3186530000000001</v>
      </c>
      <c r="D493" s="111">
        <f>D217/$C$25</f>
        <v>1.3080000000000001</v>
      </c>
      <c r="E493" s="112">
        <f>((E217/$C$25)*$C$75)/1000</f>
        <v>0</v>
      </c>
      <c r="F493" s="112">
        <f>((F217/$C$25)*$C$76)/1000</f>
        <v>1.0652999999999999E-2</v>
      </c>
      <c r="G493" s="113" t="s">
        <v>454</v>
      </c>
      <c r="H493" s="19"/>
      <c r="I493" s="19"/>
      <c r="J493" s="19"/>
      <c r="K493" s="19" t="str">
        <f t="shared" si="7"/>
        <v>Air travel: 2300+ mile trip</v>
      </c>
      <c r="L493" s="110">
        <f t="shared" si="8"/>
        <v>0.16742130000000002</v>
      </c>
      <c r="M493" s="19"/>
      <c r="N493" s="19"/>
      <c r="O493" s="19"/>
      <c r="P493" s="19"/>
      <c r="Q493" s="19"/>
      <c r="R493" s="19"/>
      <c r="S493" s="19"/>
      <c r="T493" s="19"/>
    </row>
    <row r="494" spans="1:20" x14ac:dyDescent="0.15">
      <c r="A494" s="19"/>
      <c r="B494" s="19" t="s">
        <v>441</v>
      </c>
      <c r="C494" s="111">
        <f>SUM(D494:F494)</f>
        <v>0.40109747500000004</v>
      </c>
      <c r="D494" s="111">
        <f>D218/$C$25</f>
        <v>0.39800000000000008</v>
      </c>
      <c r="E494" s="112">
        <f>((E218/$C$25)*$C$75)/1000</f>
        <v>3.0100000000000003E-5</v>
      </c>
      <c r="F494" s="112">
        <f>((F218/$C$25)*$C$76)/1000</f>
        <v>3.0673749999999998E-3</v>
      </c>
      <c r="G494" s="113" t="s">
        <v>454</v>
      </c>
      <c r="H494" s="19"/>
      <c r="I494" s="19"/>
      <c r="J494" s="19"/>
      <c r="K494" s="19"/>
      <c r="L494" s="19"/>
      <c r="M494" s="19"/>
      <c r="N494" s="19"/>
      <c r="O494" s="19"/>
      <c r="P494" s="19"/>
      <c r="Q494" s="19"/>
      <c r="R494" s="19"/>
      <c r="S494" s="19"/>
      <c r="T494" s="19"/>
    </row>
    <row r="495" spans="1:20" x14ac:dyDescent="0.15">
      <c r="A495" s="19"/>
      <c r="B495" s="19"/>
      <c r="C495" s="19"/>
      <c r="D495" s="19"/>
      <c r="E495" s="19"/>
      <c r="F495" s="19"/>
      <c r="G495" s="19"/>
      <c r="H495" s="19"/>
      <c r="I495" s="19"/>
      <c r="J495" s="19"/>
      <c r="K495" s="19"/>
      <c r="L495" s="19"/>
      <c r="M495" s="19"/>
      <c r="N495" s="19"/>
      <c r="O495" s="19"/>
      <c r="P495" s="19"/>
      <c r="Q495" s="19"/>
      <c r="R495" s="19"/>
      <c r="S495" s="19"/>
      <c r="T495" s="19"/>
    </row>
    <row r="496" spans="1:20" x14ac:dyDescent="0.15">
      <c r="A496" s="19"/>
      <c r="B496" s="19"/>
      <c r="C496" s="19"/>
      <c r="D496" s="19"/>
      <c r="E496" s="19"/>
      <c r="F496" s="19"/>
      <c r="G496" s="19"/>
      <c r="H496" s="19"/>
      <c r="I496" s="19"/>
      <c r="J496" s="19"/>
      <c r="K496" s="19"/>
      <c r="L496" s="19"/>
      <c r="M496" s="19"/>
      <c r="N496" s="19"/>
      <c r="O496" s="19"/>
      <c r="P496" s="19"/>
      <c r="Q496" s="19"/>
      <c r="R496" s="19"/>
      <c r="S496" s="19"/>
      <c r="T496" s="19"/>
    </row>
    <row r="497" spans="1:20" x14ac:dyDescent="0.15">
      <c r="A497" s="19"/>
      <c r="B497" s="19"/>
      <c r="C497" s="19"/>
      <c r="D497" s="19"/>
      <c r="E497" s="19"/>
      <c r="F497" s="19"/>
      <c r="G497" s="19"/>
      <c r="H497" s="19"/>
      <c r="I497" s="19"/>
      <c r="J497" s="19"/>
      <c r="K497" s="19"/>
      <c r="L497" s="19"/>
      <c r="M497" s="19"/>
      <c r="N497" s="19"/>
      <c r="O497" s="19"/>
      <c r="P497" s="19"/>
      <c r="Q497" s="19"/>
      <c r="R497" s="19"/>
      <c r="S497" s="19"/>
      <c r="T497" s="19"/>
    </row>
    <row r="498" spans="1:20" x14ac:dyDescent="0.15">
      <c r="A498" s="19"/>
      <c r="B498" s="19"/>
      <c r="C498" s="19"/>
      <c r="D498" s="19"/>
      <c r="E498" s="19"/>
      <c r="F498" s="19"/>
      <c r="G498" s="19"/>
      <c r="H498" s="19"/>
      <c r="I498" s="19"/>
      <c r="J498" s="19"/>
      <c r="K498" s="19"/>
      <c r="L498" s="19"/>
      <c r="M498" s="19"/>
      <c r="N498" s="19"/>
      <c r="O498" s="19"/>
      <c r="P498" s="19"/>
      <c r="Q498" s="19"/>
      <c r="R498" s="19"/>
      <c r="S498" s="19"/>
      <c r="T498" s="19"/>
    </row>
    <row r="499" spans="1:20" x14ac:dyDescent="0.15">
      <c r="A499" s="19"/>
      <c r="B499" s="19"/>
      <c r="C499" s="19"/>
      <c r="D499" s="19"/>
      <c r="E499" s="19"/>
      <c r="F499" s="19"/>
      <c r="G499" s="19"/>
      <c r="H499" s="19"/>
      <c r="I499" s="19"/>
      <c r="J499" s="19"/>
      <c r="K499" s="19"/>
      <c r="L499" s="19"/>
      <c r="M499" s="19"/>
      <c r="N499" s="19"/>
      <c r="O499" s="19"/>
      <c r="P499" s="19"/>
      <c r="Q499" s="19"/>
      <c r="R499" s="19"/>
      <c r="S499" s="19"/>
      <c r="T499" s="19"/>
    </row>
    <row r="500" spans="1:20" x14ac:dyDescent="0.15">
      <c r="A500" s="19"/>
      <c r="B500" s="19"/>
      <c r="C500" s="19"/>
      <c r="D500" s="19"/>
      <c r="E500" s="19"/>
      <c r="F500" s="19"/>
      <c r="G500" s="19"/>
      <c r="H500" s="19"/>
      <c r="I500" s="19"/>
      <c r="J500" s="19"/>
      <c r="K500" s="19"/>
      <c r="L500" s="19"/>
      <c r="M500" s="19"/>
      <c r="N500" s="19"/>
      <c r="O500" s="19"/>
      <c r="P500" s="19"/>
      <c r="Q500" s="19"/>
      <c r="R500" s="19"/>
      <c r="S500" s="19"/>
      <c r="T500" s="19"/>
    </row>
    <row r="501" spans="1:20" x14ac:dyDescent="0.15">
      <c r="A501" s="19"/>
      <c r="B501" s="19"/>
      <c r="C501" s="19"/>
      <c r="D501" s="19"/>
      <c r="E501" s="19"/>
      <c r="F501" s="19"/>
      <c r="G501" s="19"/>
      <c r="H501" s="19"/>
      <c r="I501" s="19"/>
      <c r="J501" s="19"/>
      <c r="K501" s="19"/>
      <c r="L501" s="19"/>
      <c r="M501" s="19"/>
      <c r="N501" s="19"/>
      <c r="O501" s="19"/>
      <c r="P501" s="19"/>
      <c r="Q501" s="19"/>
      <c r="R501" s="19"/>
      <c r="S501" s="19"/>
      <c r="T501" s="19"/>
    </row>
  </sheetData>
  <sheetProtection algorithmName="SHA-512" hashValue="SK+Vhx5DTr5jyX/QgYaS6Fcy7hwOSWl5meBCIUPT/+V3RVzqnkCT4YGya7gVMLkvDsbcgZKTtY0Re3mURzbAYQ==" saltValue="lMDlMOecAEWV4mlqFuUc5A==" spinCount="100000" sheet="1" formatColumns="0" formatRows="0"/>
  <sortState xmlns:xlrd2="http://schemas.microsoft.com/office/spreadsheetml/2017/richdata2" ref="B79:D131">
    <sortCondition ref="B79:B131"/>
  </sortState>
  <mergeCells count="2">
    <mergeCell ref="K30:L30"/>
    <mergeCell ref="D30:J30"/>
  </mergeCells>
  <phoneticPr fontId="10" type="noConversion"/>
  <hyperlinks>
    <hyperlink ref="B59" r:id="rId1" xr:uid="{00000000-0004-0000-0100-000000000000}"/>
    <hyperlink ref="B69" r:id="rId2" xr:uid="{00000000-0004-0000-0100-000002000000}"/>
    <hyperlink ref="B205" r:id="rId3" xr:uid="{00000000-0004-0000-0100-000003000000}"/>
    <hyperlink ref="B137" r:id="rId4" xr:uid="{00000000-0004-0000-0100-000004000000}"/>
    <hyperlink ref="B223" r:id="rId5" xr:uid="{00000000-0004-0000-0100-000005000000}"/>
    <hyperlink ref="B135" r:id="rId6" xr:uid="{00000000-0004-0000-0100-000006000000}"/>
    <hyperlink ref="B476" r:id="rId7" display="Updated in 2018 by Good Company" xr:uid="{00000000-0004-0000-0100-000007000000}"/>
    <hyperlink ref="B235" r:id="rId8" xr:uid="{00000000-0004-0000-0100-000008000000}"/>
    <hyperlink ref="B266" r:id="rId9" xr:uid="{00000000-0004-0000-0100-000009000000}"/>
    <hyperlink ref="B139" r:id="rId10" xr:uid="{00000000-0004-0000-0100-00000A000000}"/>
    <hyperlink ref="B398" r:id="rId11" xr:uid="{00000000-0004-0000-0100-00000B000000}"/>
    <hyperlink ref="B412" r:id="rId12" xr:uid="{00000000-0004-0000-0100-00000C000000}"/>
    <hyperlink ref="B370" r:id="rId13" xr:uid="{00000000-0004-0000-0100-00000D000000}"/>
    <hyperlink ref="B379" r:id="rId14" xr:uid="{00000000-0004-0000-0100-00000E000000}"/>
    <hyperlink ref="B380" r:id="rId15" xr:uid="{00000000-0004-0000-0100-00000F000000}"/>
    <hyperlink ref="B245" r:id="rId16" xr:uid="{00000000-0004-0000-0100-000010000000}"/>
    <hyperlink ref="B441" r:id="rId17" xr:uid="{00000000-0004-0000-0100-000012000000}"/>
    <hyperlink ref="B442" r:id="rId18" xr:uid="{00000000-0004-0000-0100-000013000000}"/>
    <hyperlink ref="B459" r:id="rId19" xr:uid="{00000000-0004-0000-0100-000014000000}"/>
    <hyperlink ref="B460" r:id="rId20" xr:uid="{00000000-0004-0000-0100-000015000000}"/>
    <hyperlink ref="B439" r:id="rId21" xr:uid="{DD9202D9-8B77-7D48-A374-D2AF01E678DE}"/>
    <hyperlink ref="B372" r:id="rId22" xr:uid="{53FA33B8-5309-3147-992A-7AF04B3E776B}"/>
    <hyperlink ref="B181" r:id="rId23" xr:uid="{FBDEA55D-7CAD-4843-BA22-AEDC5D8E5A58}"/>
    <hyperlink ref="B410" r:id="rId24" xr:uid="{909C5140-F4BB-1145-8231-67E9653CACA2}"/>
    <hyperlink ref="B386" r:id="rId25" display="https://www.google.com/url?sa=t&amp;rct=j&amp;q=&amp;esrc=s&amp;source=web&amp;cd=&amp;cad=rja&amp;uact=8&amp;ved=2ahUKEwiShenhwfXpAhWaGDQIHcATCh8QFjAAegQIBhAB&amp;url=https%3A%2F%2Fwww.climateactionreserve.org%2Fwp-content%2Fuploads%2F2009%2F03%2FSoil_Sequestration_Biochar_Issue_Paper1.pdf&amp;usg=AOvVaw2H1dFbYyb_qYqOoI52zD16" xr:uid="{918A5642-5437-0D45-BE73-2CB86ADB48AE}"/>
    <hyperlink ref="B253" r:id="rId26" xr:uid="{E5945E89-1757-204C-AFED-F6B77E17AE92}"/>
    <hyperlink ref="B470" r:id="rId27" xr:uid="{24877DAB-816E-EA46-9832-FB795FCD3DB0}"/>
    <hyperlink ref="B472" r:id="rId28" xr:uid="{279952D4-88CA-6545-9A20-6B8906732AC1}"/>
  </hyperlinks>
  <pageMargins left="0.7" right="0.7" top="0.75" bottom="0.75" header="0.3" footer="0.3"/>
  <drawing r:id="rId29"/>
  <legacyDrawing r:id="rId3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AP61"/>
  <sheetViews>
    <sheetView zoomScale="130" zoomScaleNormal="130" workbookViewId="0">
      <selection activeCell="C18" sqref="C18"/>
    </sheetView>
  </sheetViews>
  <sheetFormatPr baseColWidth="10" defaultRowHeight="14" outlineLevelCol="1" x14ac:dyDescent="0.15"/>
  <cols>
    <col min="1" max="1" width="5.33203125" style="2" customWidth="1"/>
    <col min="2" max="2" width="32.1640625" style="2" customWidth="1"/>
    <col min="3" max="3" width="16.1640625" style="2" customWidth="1"/>
    <col min="4" max="4" width="14.1640625" style="2" customWidth="1"/>
    <col min="5" max="5" width="15.1640625" style="2" customWidth="1"/>
    <col min="6" max="6" width="13" style="2" customWidth="1"/>
    <col min="7" max="7" width="19.5" style="2" customWidth="1"/>
    <col min="8" max="8" width="18.6640625" style="2" customWidth="1"/>
    <col min="9" max="9" width="10.5" style="2" hidden="1" customWidth="1" outlineLevel="1"/>
    <col min="10" max="10" width="10.1640625" style="2" hidden="1" customWidth="1" outlineLevel="1"/>
    <col min="11" max="12" width="8.83203125" style="2" hidden="1" customWidth="1" outlineLevel="1"/>
    <col min="13" max="13" width="10.5" style="2" hidden="1" customWidth="1" outlineLevel="1"/>
    <col min="14" max="22" width="10.83203125" style="2" hidden="1" customWidth="1" outlineLevel="1"/>
    <col min="23" max="23" width="12.83203125" style="2" hidden="1" customWidth="1" outlineLevel="1"/>
    <col min="24" max="24" width="10.83203125" style="2" hidden="1" customWidth="1" outlineLevel="1"/>
    <col min="25" max="25" width="9" style="2" hidden="1" customWidth="1" outlineLevel="1"/>
    <col min="26" max="26" width="13.33203125" style="2" hidden="1" customWidth="1" outlineLevel="1"/>
    <col min="27" max="27" width="11.6640625" style="2" hidden="1" customWidth="1" outlineLevel="1"/>
    <col min="28" max="28" width="12.5" style="2" hidden="1" customWidth="1" outlineLevel="1"/>
    <col min="29" max="29" width="21.6640625" style="2" hidden="1" customWidth="1" outlineLevel="1"/>
    <col min="30" max="30" width="10" style="2" hidden="1" customWidth="1" outlineLevel="1"/>
    <col min="31" max="31" width="12.33203125" style="2" customWidth="1" collapsed="1"/>
    <col min="32" max="32" width="12.6640625" style="2" customWidth="1"/>
    <col min="33" max="33" width="10.6640625" style="2" customWidth="1"/>
    <col min="34" max="34" width="6.83203125" style="2" customWidth="1"/>
    <col min="35" max="35" width="7.5" style="2" customWidth="1"/>
    <col min="36" max="36" width="6.83203125" style="2" customWidth="1"/>
    <col min="37" max="37" width="5.33203125" style="2" customWidth="1"/>
    <col min="38" max="38" width="6.83203125" style="2" customWidth="1"/>
    <col min="39" max="39" width="10.6640625" style="2" customWidth="1"/>
    <col min="40" max="40" width="17" style="2" customWidth="1"/>
    <col min="41" max="41" width="9.1640625" style="2" customWidth="1"/>
    <col min="42" max="16384" width="10.83203125" style="2"/>
  </cols>
  <sheetData>
    <row r="1" spans="1:42" ht="35" customHeight="1" x14ac:dyDescent="0.25">
      <c r="A1" s="114"/>
      <c r="B1" s="1" t="s">
        <v>607</v>
      </c>
      <c r="C1" s="10"/>
      <c r="D1" s="10"/>
      <c r="AE1" s="2" t="s">
        <v>892</v>
      </c>
      <c r="AG1" s="107"/>
    </row>
    <row r="2" spans="1:42" ht="20" x14ac:dyDescent="0.25">
      <c r="B2" s="194" t="s">
        <v>626</v>
      </c>
      <c r="C2" s="188"/>
      <c r="D2" s="6">
        <f>SUM(AD18:AD53)</f>
        <v>0</v>
      </c>
      <c r="E2" s="7" t="s">
        <v>497</v>
      </c>
      <c r="AE2" s="560" t="s">
        <v>849</v>
      </c>
      <c r="AF2" s="560"/>
      <c r="AG2" s="560"/>
      <c r="AH2" s="560"/>
      <c r="AI2" s="560"/>
    </row>
    <row r="3" spans="1:42" ht="23" customHeight="1" x14ac:dyDescent="0.25">
      <c r="A3" s="114"/>
      <c r="B3" s="119" t="s">
        <v>200</v>
      </c>
      <c r="C3" s="10"/>
      <c r="D3" s="10"/>
      <c r="G3" s="14"/>
      <c r="AE3" s="560"/>
      <c r="AF3" s="560"/>
      <c r="AG3" s="560"/>
      <c r="AH3" s="560"/>
      <c r="AI3" s="560"/>
    </row>
    <row r="4" spans="1:42" s="121" customFormat="1" ht="236" customHeight="1" x14ac:dyDescent="0.15">
      <c r="B4" s="551" t="s">
        <v>920</v>
      </c>
      <c r="C4" s="551"/>
      <c r="D4" s="551"/>
      <c r="E4" s="551"/>
      <c r="F4" s="551"/>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row>
    <row r="5" spans="1:42" s="121" customFormat="1" ht="53" customHeight="1" x14ac:dyDescent="0.15">
      <c r="B5" s="183" t="s">
        <v>373</v>
      </c>
      <c r="C5" s="297" t="s">
        <v>406</v>
      </c>
      <c r="D5" s="562" t="s">
        <v>424</v>
      </c>
      <c r="E5" s="561"/>
      <c r="F5" s="561"/>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563"/>
      <c r="AH5" s="563"/>
      <c r="AI5" s="563"/>
      <c r="AJ5" s="563"/>
      <c r="AK5" s="563"/>
      <c r="AL5" s="563"/>
      <c r="AM5" s="563"/>
      <c r="AN5" s="563"/>
    </row>
    <row r="6" spans="1:42" s="121" customFormat="1" ht="16" customHeight="1" x14ac:dyDescent="0.15">
      <c r="B6" s="184" t="s">
        <v>301</v>
      </c>
      <c r="C6" s="298">
        <v>0.3</v>
      </c>
      <c r="D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141"/>
      <c r="AH6" s="271"/>
      <c r="AI6" s="271"/>
      <c r="AJ6" s="271"/>
      <c r="AK6" s="271"/>
      <c r="AL6" s="271"/>
      <c r="AM6" s="271"/>
      <c r="AN6" s="271"/>
    </row>
    <row r="7" spans="1:42" s="121" customFormat="1" ht="13" x14ac:dyDescent="0.15">
      <c r="B7" s="184" t="s">
        <v>222</v>
      </c>
      <c r="C7" s="298">
        <v>0.3</v>
      </c>
      <c r="D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9"/>
    </row>
    <row r="8" spans="1:42" s="121" customFormat="1" ht="13" x14ac:dyDescent="0.15">
      <c r="B8" s="184" t="s">
        <v>300</v>
      </c>
      <c r="C8" s="298">
        <v>0.05</v>
      </c>
      <c r="D8" s="296"/>
      <c r="E8" s="296"/>
      <c r="F8" s="296"/>
      <c r="H8" s="296"/>
      <c r="I8" s="296"/>
      <c r="J8" s="296"/>
      <c r="K8" s="296"/>
      <c r="L8" s="296"/>
      <c r="M8" s="296"/>
      <c r="N8" s="296"/>
      <c r="O8" s="296"/>
      <c r="P8" s="296"/>
      <c r="Q8" s="296"/>
      <c r="R8" s="296"/>
      <c r="S8" s="296"/>
      <c r="T8" s="296"/>
      <c r="U8" s="296"/>
      <c r="V8" s="296"/>
      <c r="W8" s="296"/>
      <c r="X8" s="296"/>
      <c r="Y8" s="296"/>
      <c r="Z8" s="296"/>
      <c r="AA8" s="296"/>
      <c r="AB8" s="296"/>
      <c r="AC8" s="296"/>
      <c r="AD8" s="296"/>
      <c r="AE8" s="300" t="s">
        <v>370</v>
      </c>
      <c r="AF8" s="296"/>
      <c r="AG8" s="296"/>
      <c r="AH8" s="296"/>
      <c r="AI8" s="296"/>
      <c r="AJ8" s="296"/>
      <c r="AK8" s="296"/>
      <c r="AL8" s="296"/>
    </row>
    <row r="9" spans="1:42" s="121" customFormat="1" ht="13" x14ac:dyDescent="0.15">
      <c r="B9" s="184" t="s">
        <v>331</v>
      </c>
      <c r="C9" s="298">
        <v>0.45</v>
      </c>
      <c r="D9" s="296"/>
      <c r="E9" s="296"/>
      <c r="F9" s="296"/>
      <c r="H9" s="300"/>
      <c r="I9" s="296"/>
      <c r="J9" s="296"/>
      <c r="K9" s="296"/>
      <c r="L9" s="296"/>
      <c r="M9" s="296"/>
      <c r="N9" s="296"/>
      <c r="O9" s="296"/>
      <c r="P9" s="296"/>
      <c r="Q9" s="296"/>
      <c r="R9" s="296"/>
      <c r="S9" s="296"/>
      <c r="T9" s="296"/>
      <c r="U9" s="296"/>
      <c r="V9" s="296"/>
      <c r="W9" s="296"/>
      <c r="X9" s="296"/>
      <c r="Y9" s="296"/>
      <c r="Z9" s="296"/>
      <c r="AA9" s="296"/>
      <c r="AB9" s="296"/>
      <c r="AC9" s="296"/>
      <c r="AD9" s="296"/>
      <c r="AE9" s="301" t="s">
        <v>343</v>
      </c>
      <c r="AF9" s="296"/>
      <c r="AG9" s="296"/>
      <c r="AH9" s="296"/>
      <c r="AI9" s="296"/>
      <c r="AJ9" s="296"/>
      <c r="AK9" s="296"/>
      <c r="AL9" s="296"/>
    </row>
    <row r="10" spans="1:42" s="121" customFormat="1" ht="13" x14ac:dyDescent="0.15">
      <c r="B10" s="184" t="s">
        <v>297</v>
      </c>
      <c r="C10" s="298">
        <v>0.05</v>
      </c>
      <c r="D10" s="296"/>
      <c r="E10" s="296"/>
      <c r="F10" s="296"/>
      <c r="H10" s="301"/>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row>
    <row r="11" spans="1:42" s="121" customFormat="1" ht="13" x14ac:dyDescent="0.15">
      <c r="B11" s="296"/>
      <c r="C11" s="296"/>
      <c r="D11" s="296"/>
      <c r="E11" s="296"/>
      <c r="F11" s="296"/>
      <c r="G11" s="296"/>
      <c r="H11" s="296"/>
      <c r="I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P11" s="156"/>
    </row>
    <row r="12" spans="1:42" s="121" customFormat="1" ht="15" x14ac:dyDescent="0.15">
      <c r="B12" s="408" t="s">
        <v>798</v>
      </c>
      <c r="C12" s="296"/>
      <c r="D12" s="296"/>
      <c r="E12" s="296"/>
      <c r="F12" s="296"/>
      <c r="G12" s="296"/>
      <c r="H12" s="296"/>
      <c r="I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P12" s="156"/>
    </row>
    <row r="13" spans="1:42" s="121" customFormat="1" x14ac:dyDescent="0.15">
      <c r="B13" s="275" t="s">
        <v>416</v>
      </c>
      <c r="C13" s="185"/>
      <c r="D13" s="275" t="s">
        <v>417</v>
      </c>
      <c r="E13" s="296"/>
      <c r="F13" s="296"/>
      <c r="G13" s="296"/>
      <c r="H13" s="296"/>
      <c r="I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row>
    <row r="14" spans="1:42" s="121" customFormat="1" x14ac:dyDescent="0.15">
      <c r="B14" s="186" t="s">
        <v>405</v>
      </c>
      <c r="C14" s="187">
        <f>C13*28.3495</f>
        <v>0</v>
      </c>
      <c r="D14" s="275" t="s">
        <v>415</v>
      </c>
      <c r="E14" s="296"/>
      <c r="F14" s="296"/>
      <c r="G14" s="296"/>
      <c r="H14" s="296"/>
      <c r="I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row>
    <row r="15" spans="1:42" x14ac:dyDescent="0.15">
      <c r="B15" s="10"/>
      <c r="C15" s="10"/>
      <c r="D15" s="10"/>
    </row>
    <row r="16" spans="1:42" ht="18" x14ac:dyDescent="0.2">
      <c r="B16" s="254" t="s">
        <v>605</v>
      </c>
      <c r="C16" s="189"/>
      <c r="D16" s="189"/>
      <c r="E16" s="189"/>
      <c r="F16" s="189"/>
      <c r="G16" s="189"/>
      <c r="H16" s="189"/>
    </row>
    <row r="17" spans="1:40" s="121" customFormat="1" ht="17" customHeight="1" x14ac:dyDescent="0.2">
      <c r="B17" s="140"/>
      <c r="C17" s="140"/>
      <c r="D17" s="140"/>
      <c r="AC17" s="271" t="s">
        <v>613</v>
      </c>
      <c r="AD17" s="159" t="s">
        <v>553</v>
      </c>
      <c r="AG17" s="192" t="s">
        <v>848</v>
      </c>
    </row>
    <row r="18" spans="1:40" s="121" customFormat="1" ht="13" x14ac:dyDescent="0.15">
      <c r="B18" s="140" t="s">
        <v>606</v>
      </c>
      <c r="C18" s="402"/>
      <c r="D18" s="140" t="s">
        <v>403</v>
      </c>
      <c r="AC18" s="162">
        <f>'Emissions Factors'!E242</f>
        <v>6.4682271962E-4</v>
      </c>
      <c r="AD18" s="145">
        <f>C18*AC18</f>
        <v>0</v>
      </c>
      <c r="AG18" s="418">
        <f>AD18</f>
        <v>0</v>
      </c>
    </row>
    <row r="19" spans="1:40" s="121" customFormat="1" ht="13" x14ac:dyDescent="0.15">
      <c r="B19" s="140"/>
      <c r="C19" s="140"/>
      <c r="D19" s="140"/>
    </row>
    <row r="20" spans="1:40" ht="18" x14ac:dyDescent="0.2">
      <c r="B20" s="254" t="s">
        <v>901</v>
      </c>
      <c r="C20" s="189"/>
      <c r="D20" s="189"/>
      <c r="E20" s="189"/>
      <c r="F20" s="189"/>
      <c r="G20" s="189"/>
      <c r="H20" s="189"/>
    </row>
    <row r="21" spans="1:40" s="121" customFormat="1" ht="17" customHeight="1" x14ac:dyDescent="0.2">
      <c r="B21" s="140"/>
      <c r="C21" s="140"/>
      <c r="D21" s="140"/>
      <c r="E21" s="141" t="s">
        <v>905</v>
      </c>
      <c r="AC21" s="271" t="s">
        <v>913</v>
      </c>
      <c r="AD21" s="159" t="s">
        <v>553</v>
      </c>
      <c r="AG21" s="192" t="s">
        <v>848</v>
      </c>
    </row>
    <row r="22" spans="1:40" s="121" customFormat="1" ht="13" x14ac:dyDescent="0.15">
      <c r="B22" s="140" t="s">
        <v>904</v>
      </c>
      <c r="C22" s="402"/>
      <c r="D22" s="140" t="s">
        <v>902</v>
      </c>
      <c r="E22" s="147">
        <f>9/0.375*C22</f>
        <v>0</v>
      </c>
      <c r="F22" s="121" t="s">
        <v>903</v>
      </c>
      <c r="AC22" s="162">
        <f>'Emissions Factors'!F249</f>
        <v>1.8920947766993502E-3</v>
      </c>
      <c r="AD22" s="145">
        <f>C22*AC22</f>
        <v>0</v>
      </c>
      <c r="AG22" s="418">
        <f>AD22</f>
        <v>0</v>
      </c>
    </row>
    <row r="23" spans="1:40" s="121" customFormat="1" ht="13" x14ac:dyDescent="0.15">
      <c r="B23" s="140"/>
      <c r="C23" s="140"/>
      <c r="D23" s="140"/>
    </row>
    <row r="24" spans="1:40" ht="18" x14ac:dyDescent="0.2">
      <c r="B24" s="254" t="s">
        <v>604</v>
      </c>
      <c r="C24" s="189"/>
      <c r="D24" s="189"/>
      <c r="E24" s="189"/>
      <c r="F24" s="189"/>
      <c r="G24" s="189"/>
      <c r="H24" s="189"/>
      <c r="I24" s="121"/>
      <c r="J24" s="107"/>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row>
    <row r="25" spans="1:40" s="121" customFormat="1" ht="20" customHeight="1" x14ac:dyDescent="0.15">
      <c r="B25" s="561" t="s">
        <v>344</v>
      </c>
      <c r="C25" s="561"/>
      <c r="D25" s="561"/>
      <c r="E25" s="561"/>
      <c r="F25" s="561"/>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row>
    <row r="26" spans="1:40" s="121" customFormat="1" ht="67" customHeight="1" x14ac:dyDescent="0.2">
      <c r="B26" s="128" t="s">
        <v>295</v>
      </c>
      <c r="C26" s="128" t="s">
        <v>224</v>
      </c>
      <c r="D26" s="128" t="s">
        <v>296</v>
      </c>
      <c r="E26" s="128" t="s">
        <v>334</v>
      </c>
      <c r="F26" s="128" t="s">
        <v>408</v>
      </c>
      <c r="G26" s="128" t="s">
        <v>377</v>
      </c>
      <c r="H26" s="128" t="s">
        <v>401</v>
      </c>
      <c r="I26" s="159" t="s">
        <v>224</v>
      </c>
      <c r="J26" s="159" t="s">
        <v>299</v>
      </c>
      <c r="K26" s="159" t="s">
        <v>218</v>
      </c>
      <c r="L26" s="159" t="s">
        <v>335</v>
      </c>
      <c r="M26" s="159" t="s">
        <v>336</v>
      </c>
      <c r="N26" s="159" t="s">
        <v>374</v>
      </c>
      <c r="O26" s="159" t="s">
        <v>398</v>
      </c>
      <c r="P26" s="159" t="s">
        <v>375</v>
      </c>
      <c r="Q26" s="159" t="s">
        <v>399</v>
      </c>
      <c r="R26" s="159" t="s">
        <v>339</v>
      </c>
      <c r="S26" s="159" t="s">
        <v>337</v>
      </c>
      <c r="T26" s="159" t="s">
        <v>376</v>
      </c>
      <c r="U26" s="159" t="s">
        <v>338</v>
      </c>
      <c r="V26" s="159" t="s">
        <v>400</v>
      </c>
      <c r="W26" s="159" t="s">
        <v>340</v>
      </c>
      <c r="X26" s="191" t="s">
        <v>346</v>
      </c>
      <c r="Y26" s="159" t="s">
        <v>217</v>
      </c>
      <c r="Z26" s="159" t="s">
        <v>215</v>
      </c>
      <c r="AA26" s="159" t="s">
        <v>378</v>
      </c>
      <c r="AB26" s="159" t="s">
        <v>214</v>
      </c>
      <c r="AC26" s="191" t="s">
        <v>345</v>
      </c>
      <c r="AD26" s="159" t="s">
        <v>553</v>
      </c>
      <c r="AE26" s="192" t="s">
        <v>450</v>
      </c>
      <c r="AF26" s="192" t="s">
        <v>391</v>
      </c>
      <c r="AG26" s="192" t="s">
        <v>848</v>
      </c>
    </row>
    <row r="27" spans="1:40" s="121" customFormat="1" ht="13" x14ac:dyDescent="0.15">
      <c r="A27" s="121">
        <v>1</v>
      </c>
      <c r="B27" s="397"/>
      <c r="C27" s="447" t="str">
        <f>IF(I27&gt;0,I27,"Select bottle type")</f>
        <v>Select bottle type</v>
      </c>
      <c r="D27" s="391"/>
      <c r="E27" s="391"/>
      <c r="F27" s="392"/>
      <c r="G27" s="401"/>
      <c r="H27" s="392"/>
      <c r="I27" s="144">
        <f>IF(B27="",0,VLOOKUP(B27,'Emissions Factors'!$B$270:$C$344,2,TRUE))</f>
        <v>0</v>
      </c>
      <c r="J27" s="162">
        <f>(D27*E27*I27)/1000</f>
        <v>0</v>
      </c>
      <c r="K27" s="144" t="e">
        <f>VLOOKUP(G27,'Emissions Factors'!$B$352:$C$358,2,FALSE)</f>
        <v>#N/A</v>
      </c>
      <c r="L27" s="142" t="e">
        <f>(K27*J27)/1000</f>
        <v>#N/A</v>
      </c>
      <c r="M27" s="142">
        <f>H27</f>
        <v>0</v>
      </c>
      <c r="N27" s="142">
        <f>IF(M27="Truck",L27,0)</f>
        <v>0</v>
      </c>
      <c r="O27" s="142">
        <f>IF(M27="Train freight",L27,0)</f>
        <v>0</v>
      </c>
      <c r="P27" s="142">
        <f>IF(M27="Ocean freight",L27,0)</f>
        <v>0</v>
      </c>
      <c r="Q27" s="142">
        <f>IF(M27="Aircraft freight",L27,0)</f>
        <v>0</v>
      </c>
      <c r="R27" s="142">
        <f>IF(M27="Combination/average",L27,0)</f>
        <v>0</v>
      </c>
      <c r="S27" s="145">
        <f>((N27*'Emissions Factors'!$D$214)+((N27*'Emissions Factors'!$E$214)/1000)+((N27*'Emissions Factors'!$F$214)/1000))/1000</f>
        <v>0</v>
      </c>
      <c r="T27" s="145">
        <f>((O27*'Emissions Factors'!$D$215)+((O27*'Emissions Factors'!$E$215)/1000*'Emissions Factors'!$C$75)+((O27*'Emissions Factors'!$F$215)/1000*'Emissions Factors'!$C$76))/1000</f>
        <v>0</v>
      </c>
      <c r="U27" s="145">
        <f>((P27*'Emissions Factors'!$D$216)+((P27*'Emissions Factors'!$E$216)/1000)+((P27*'Emissions Factors'!$F$216)/1000))/1000</f>
        <v>0</v>
      </c>
      <c r="V27" s="145">
        <f>((Q27*'Emissions Factors'!$D$217)+((Q27*'Emissions Factors'!$E$217)/1000)+((Q27*'Emissions Factors'!$F$217)/1000))/1000</f>
        <v>0</v>
      </c>
      <c r="W27" s="145">
        <f>((R27*'Emissions Factors'!$D$218)+((R27*'Emissions Factors'!$E$218)/1000)+((R27*'Emissions Factors'!$F$218)/1000))/1000</f>
        <v>0</v>
      </c>
      <c r="X27" s="193">
        <f t="shared" ref="X27:X46" si="0">SUM(S27:W27)</f>
        <v>0</v>
      </c>
      <c r="Y27" s="145">
        <f t="shared" ref="Y27:Y46" si="1">1-F27</f>
        <v>1</v>
      </c>
      <c r="Z27" s="145">
        <f>J27*Y27*'Emissions Factors'!$C$259</f>
        <v>0</v>
      </c>
      <c r="AA27" s="145">
        <f t="shared" ref="AA27:AA45" si="2">F27</f>
        <v>0</v>
      </c>
      <c r="AB27" s="145">
        <f>J27*AA27*'Emissions Factors'!$C$261</f>
        <v>0</v>
      </c>
      <c r="AC27" s="162">
        <f>Z27+AB27</f>
        <v>0</v>
      </c>
      <c r="AD27" s="145">
        <f t="shared" ref="AD27:AD46" si="3">X27+AC27</f>
        <v>0</v>
      </c>
      <c r="AE27" s="418" t="str">
        <f>IF(X27&gt;0,X27,"")</f>
        <v/>
      </c>
      <c r="AF27" s="418" t="str">
        <f>IF(AC27&gt;0,AC27,"")</f>
        <v/>
      </c>
      <c r="AG27" s="418">
        <f>AD27</f>
        <v>0</v>
      </c>
    </row>
    <row r="28" spans="1:40" s="121" customFormat="1" ht="13" x14ac:dyDescent="0.15">
      <c r="A28" s="121">
        <v>2</v>
      </c>
      <c r="B28" s="397"/>
      <c r="C28" s="447" t="str">
        <f t="shared" ref="C28:C36" si="4">IF(I28&gt;0,I28,"Select bottle type")</f>
        <v>Select bottle type</v>
      </c>
      <c r="D28" s="391"/>
      <c r="E28" s="391"/>
      <c r="F28" s="392"/>
      <c r="G28" s="401"/>
      <c r="H28" s="392"/>
      <c r="I28" s="144">
        <f>IF(B28="",0,VLOOKUP(B28,'Emissions Factors'!$B$270:$C$344,2,TRUE))</f>
        <v>0</v>
      </c>
      <c r="J28" s="162">
        <f t="shared" ref="J28:J46" si="5">(D28*E28*I28)/1000</f>
        <v>0</v>
      </c>
      <c r="K28" s="144" t="e">
        <f>VLOOKUP(G28,'Emissions Factors'!$B$352:$C$358,2,FALSE)</f>
        <v>#N/A</v>
      </c>
      <c r="L28" s="142" t="e">
        <f t="shared" ref="L28:L46" si="6">(K28*J28)/1000</f>
        <v>#N/A</v>
      </c>
      <c r="M28" s="142">
        <f t="shared" ref="M28:M46" si="7">H28</f>
        <v>0</v>
      </c>
      <c r="N28" s="142">
        <f t="shared" ref="N28:N46" si="8">IF(M28="Truck",L28,0)</f>
        <v>0</v>
      </c>
      <c r="O28" s="142">
        <f t="shared" ref="O28:O46" si="9">IF(M28="Train freight",L28,0)</f>
        <v>0</v>
      </c>
      <c r="P28" s="142">
        <f t="shared" ref="P28:P46" si="10">IF(M28="Ocean freight",L28,0)</f>
        <v>0</v>
      </c>
      <c r="Q28" s="142">
        <f t="shared" ref="Q28:Q46" si="11">IF(M28="Aircraft freight",L28,0)</f>
        <v>0</v>
      </c>
      <c r="R28" s="142">
        <f t="shared" ref="R28:R46" si="12">IF(M28="Combination/average",L28,0)</f>
        <v>0</v>
      </c>
      <c r="S28" s="145">
        <f>((N28*'Emissions Factors'!$D$214)+((N28*'Emissions Factors'!$E$214)/1000)+((N28*'Emissions Factors'!$F$214)/1000))/1000</f>
        <v>0</v>
      </c>
      <c r="T28" s="145">
        <f>((O28*'Emissions Factors'!$D$215)+((O28*'Emissions Factors'!$E$215)/1000*'Emissions Factors'!$C$75)+((O28*'Emissions Factors'!$F$215)/1000*'Emissions Factors'!$C$76))/1000</f>
        <v>0</v>
      </c>
      <c r="U28" s="145">
        <f>((P28*'Emissions Factors'!$D$216)+((P28*'Emissions Factors'!$E$216)/1000)+((P28*'Emissions Factors'!$F$216)/1000))/1000</f>
        <v>0</v>
      </c>
      <c r="V28" s="145">
        <f>((Q28*'Emissions Factors'!$D$217)+((Q28*'Emissions Factors'!$E$217)/1000)+((Q28*'Emissions Factors'!$F$217)/1000))/1000</f>
        <v>0</v>
      </c>
      <c r="W28" s="145">
        <f>((R28*'Emissions Factors'!$D$218)+((R28*'Emissions Factors'!$E$218)/1000)+((R28*'Emissions Factors'!$F$218)/1000))/1000</f>
        <v>0</v>
      </c>
      <c r="X28" s="193">
        <f t="shared" si="0"/>
        <v>0</v>
      </c>
      <c r="Y28" s="145">
        <f t="shared" si="1"/>
        <v>1</v>
      </c>
      <c r="Z28" s="145">
        <f>J28*Y28*'Emissions Factors'!$C$259</f>
        <v>0</v>
      </c>
      <c r="AA28" s="145">
        <f t="shared" si="2"/>
        <v>0</v>
      </c>
      <c r="AB28" s="145">
        <f>J28*AA28*'Emissions Factors'!$C$261</f>
        <v>0</v>
      </c>
      <c r="AC28" s="162">
        <f t="shared" ref="AC28:AC46" si="13">Z28+AB28</f>
        <v>0</v>
      </c>
      <c r="AD28" s="145">
        <f t="shared" si="3"/>
        <v>0</v>
      </c>
      <c r="AE28" s="418" t="str">
        <f t="shared" ref="AE28:AE46" si="14">IF(X28&gt;0,X28,"")</f>
        <v/>
      </c>
      <c r="AF28" s="418" t="str">
        <f t="shared" ref="AF28:AF46" si="15">IF(AC28&gt;0,AC28,"")</f>
        <v/>
      </c>
      <c r="AG28" s="418">
        <f t="shared" ref="AG28:AG46" si="16">AD28</f>
        <v>0</v>
      </c>
    </row>
    <row r="29" spans="1:40" s="121" customFormat="1" ht="13" x14ac:dyDescent="0.15">
      <c r="A29" s="121">
        <v>3</v>
      </c>
      <c r="B29" s="397"/>
      <c r="C29" s="447" t="str">
        <f t="shared" si="4"/>
        <v>Select bottle type</v>
      </c>
      <c r="D29" s="391"/>
      <c r="E29" s="391"/>
      <c r="F29" s="392"/>
      <c r="G29" s="401"/>
      <c r="H29" s="392"/>
      <c r="I29" s="144">
        <f>IF(B29="",0,VLOOKUP(B29,'Emissions Factors'!$B$270:$C$344,2,TRUE))</f>
        <v>0</v>
      </c>
      <c r="J29" s="162">
        <f t="shared" si="5"/>
        <v>0</v>
      </c>
      <c r="K29" s="144" t="e">
        <f>VLOOKUP(G29,'Emissions Factors'!$B$352:$C$358,2,FALSE)</f>
        <v>#N/A</v>
      </c>
      <c r="L29" s="142" t="e">
        <f t="shared" si="6"/>
        <v>#N/A</v>
      </c>
      <c r="M29" s="142">
        <f t="shared" si="7"/>
        <v>0</v>
      </c>
      <c r="N29" s="142">
        <f t="shared" si="8"/>
        <v>0</v>
      </c>
      <c r="O29" s="142">
        <f t="shared" si="9"/>
        <v>0</v>
      </c>
      <c r="P29" s="142">
        <f t="shared" si="10"/>
        <v>0</v>
      </c>
      <c r="Q29" s="142">
        <f t="shared" si="11"/>
        <v>0</v>
      </c>
      <c r="R29" s="142">
        <f t="shared" si="12"/>
        <v>0</v>
      </c>
      <c r="S29" s="145">
        <f>((N29*'Emissions Factors'!$D$214)+((N29*'Emissions Factors'!$E$214)/1000)+((N29*'Emissions Factors'!$F$214)/1000))/1000</f>
        <v>0</v>
      </c>
      <c r="T29" s="145">
        <f>((O29*'Emissions Factors'!$D$215)+((O29*'Emissions Factors'!$E$215)/1000*'Emissions Factors'!$C$75)+((O29*'Emissions Factors'!$F$215)/1000*'Emissions Factors'!$C$76))/1000</f>
        <v>0</v>
      </c>
      <c r="U29" s="145">
        <f>((P29*'Emissions Factors'!$D$216)+((P29*'Emissions Factors'!$E$216)/1000)+((P29*'Emissions Factors'!$F$216)/1000))/1000</f>
        <v>0</v>
      </c>
      <c r="V29" s="145">
        <f>((Q29*'Emissions Factors'!$D$217)+((Q29*'Emissions Factors'!$E$217)/1000)+((Q29*'Emissions Factors'!$F$217)/1000))/1000</f>
        <v>0</v>
      </c>
      <c r="W29" s="145">
        <f>((R29*'Emissions Factors'!$D$218)+((R29*'Emissions Factors'!$E$218)/1000)+((R29*'Emissions Factors'!$F$218)/1000))/1000</f>
        <v>0</v>
      </c>
      <c r="X29" s="193">
        <f t="shared" si="0"/>
        <v>0</v>
      </c>
      <c r="Y29" s="145">
        <f t="shared" si="1"/>
        <v>1</v>
      </c>
      <c r="Z29" s="145">
        <f>J29*Y29*'Emissions Factors'!$C$259</f>
        <v>0</v>
      </c>
      <c r="AA29" s="145">
        <f t="shared" si="2"/>
        <v>0</v>
      </c>
      <c r="AB29" s="145">
        <f>J29*AA29*'Emissions Factors'!$C$261</f>
        <v>0</v>
      </c>
      <c r="AC29" s="162">
        <f t="shared" si="13"/>
        <v>0</v>
      </c>
      <c r="AD29" s="145">
        <f t="shared" si="3"/>
        <v>0</v>
      </c>
      <c r="AE29" s="418" t="str">
        <f t="shared" si="14"/>
        <v/>
      </c>
      <c r="AF29" s="418" t="str">
        <f t="shared" si="15"/>
        <v/>
      </c>
      <c r="AG29" s="418">
        <f t="shared" si="16"/>
        <v>0</v>
      </c>
    </row>
    <row r="30" spans="1:40" s="121" customFormat="1" ht="13" x14ac:dyDescent="0.15">
      <c r="A30" s="121">
        <v>4</v>
      </c>
      <c r="B30" s="397"/>
      <c r="C30" s="447" t="str">
        <f t="shared" si="4"/>
        <v>Select bottle type</v>
      </c>
      <c r="D30" s="391"/>
      <c r="E30" s="391"/>
      <c r="F30" s="392"/>
      <c r="G30" s="401"/>
      <c r="H30" s="392"/>
      <c r="I30" s="144">
        <f>IF(B30="",0,VLOOKUP(B30,'Emissions Factors'!$B$270:$C$344,2,TRUE))</f>
        <v>0</v>
      </c>
      <c r="J30" s="162">
        <f t="shared" si="5"/>
        <v>0</v>
      </c>
      <c r="K30" s="144" t="e">
        <f>VLOOKUP(G30,'Emissions Factors'!$B$352:$C$358,2,FALSE)</f>
        <v>#N/A</v>
      </c>
      <c r="L30" s="142" t="e">
        <f t="shared" si="6"/>
        <v>#N/A</v>
      </c>
      <c r="M30" s="142">
        <f t="shared" si="7"/>
        <v>0</v>
      </c>
      <c r="N30" s="142">
        <f t="shared" si="8"/>
        <v>0</v>
      </c>
      <c r="O30" s="142">
        <f t="shared" si="9"/>
        <v>0</v>
      </c>
      <c r="P30" s="142">
        <f t="shared" si="10"/>
        <v>0</v>
      </c>
      <c r="Q30" s="142">
        <f t="shared" si="11"/>
        <v>0</v>
      </c>
      <c r="R30" s="142">
        <f t="shared" si="12"/>
        <v>0</v>
      </c>
      <c r="S30" s="145">
        <f>((N30*'Emissions Factors'!$D$214)+((N30*'Emissions Factors'!$E$214)/1000)+((N30*'Emissions Factors'!$F$214)/1000))/1000</f>
        <v>0</v>
      </c>
      <c r="T30" s="145">
        <f>((O30*'Emissions Factors'!$D$215)+((O30*'Emissions Factors'!$E$215)/1000*'Emissions Factors'!$C$75)+((O30*'Emissions Factors'!$F$215)/1000*'Emissions Factors'!$C$76))/1000</f>
        <v>0</v>
      </c>
      <c r="U30" s="145">
        <f>((P30*'Emissions Factors'!$D$216)+((P30*'Emissions Factors'!$E$216)/1000)+((P30*'Emissions Factors'!$F$216)/1000))/1000</f>
        <v>0</v>
      </c>
      <c r="V30" s="145">
        <f>((Q30*'Emissions Factors'!$D$217)+((Q30*'Emissions Factors'!$E$217)/1000)+((Q30*'Emissions Factors'!$F$217)/1000))/1000</f>
        <v>0</v>
      </c>
      <c r="W30" s="145">
        <f>((R30*'Emissions Factors'!$D$218)+((R30*'Emissions Factors'!$E$218)/1000)+((R30*'Emissions Factors'!$F$218)/1000))/1000</f>
        <v>0</v>
      </c>
      <c r="X30" s="193">
        <f t="shared" si="0"/>
        <v>0</v>
      </c>
      <c r="Y30" s="145">
        <f t="shared" si="1"/>
        <v>1</v>
      </c>
      <c r="Z30" s="145">
        <f>J30*Y30*'Emissions Factors'!$C$259</f>
        <v>0</v>
      </c>
      <c r="AA30" s="145">
        <f t="shared" si="2"/>
        <v>0</v>
      </c>
      <c r="AB30" s="145">
        <f>J30*AA30*'Emissions Factors'!$C$261</f>
        <v>0</v>
      </c>
      <c r="AC30" s="162">
        <f t="shared" si="13"/>
        <v>0</v>
      </c>
      <c r="AD30" s="145">
        <f t="shared" si="3"/>
        <v>0</v>
      </c>
      <c r="AE30" s="418" t="str">
        <f t="shared" si="14"/>
        <v/>
      </c>
      <c r="AF30" s="418" t="str">
        <f t="shared" si="15"/>
        <v/>
      </c>
      <c r="AG30" s="418">
        <f t="shared" si="16"/>
        <v>0</v>
      </c>
    </row>
    <row r="31" spans="1:40" s="121" customFormat="1" ht="13" x14ac:dyDescent="0.15">
      <c r="A31" s="121">
        <v>5</v>
      </c>
      <c r="B31" s="397"/>
      <c r="C31" s="447" t="str">
        <f t="shared" si="4"/>
        <v>Select bottle type</v>
      </c>
      <c r="D31" s="391"/>
      <c r="E31" s="391"/>
      <c r="F31" s="392"/>
      <c r="G31" s="401"/>
      <c r="H31" s="392"/>
      <c r="I31" s="144">
        <f>IF(B31="",0,VLOOKUP(B31,'Emissions Factors'!$B$270:$C$344,2,TRUE))</f>
        <v>0</v>
      </c>
      <c r="J31" s="162">
        <f t="shared" si="5"/>
        <v>0</v>
      </c>
      <c r="K31" s="144" t="e">
        <f>VLOOKUP(G31,'Emissions Factors'!$B$352:$C$358,2,FALSE)</f>
        <v>#N/A</v>
      </c>
      <c r="L31" s="142" t="e">
        <f t="shared" si="6"/>
        <v>#N/A</v>
      </c>
      <c r="M31" s="142">
        <f t="shared" si="7"/>
        <v>0</v>
      </c>
      <c r="N31" s="142">
        <f t="shared" si="8"/>
        <v>0</v>
      </c>
      <c r="O31" s="142">
        <f t="shared" si="9"/>
        <v>0</v>
      </c>
      <c r="P31" s="142">
        <f t="shared" si="10"/>
        <v>0</v>
      </c>
      <c r="Q31" s="142">
        <f t="shared" si="11"/>
        <v>0</v>
      </c>
      <c r="R31" s="142">
        <f t="shared" si="12"/>
        <v>0</v>
      </c>
      <c r="S31" s="145">
        <f>((N31*'Emissions Factors'!$D$214)+((N31*'Emissions Factors'!$E$214)/1000)+((N31*'Emissions Factors'!$F$214)/1000))/1000</f>
        <v>0</v>
      </c>
      <c r="T31" s="145">
        <f>((O31*'Emissions Factors'!$D$215)+((O31*'Emissions Factors'!$E$215)/1000*'Emissions Factors'!$C$75)+((O31*'Emissions Factors'!$F$215)/1000*'Emissions Factors'!$C$76))/1000</f>
        <v>0</v>
      </c>
      <c r="U31" s="145">
        <f>((P31*'Emissions Factors'!$D$216)+((P31*'Emissions Factors'!$E$216)/1000)+((P31*'Emissions Factors'!$F$216)/1000))/1000</f>
        <v>0</v>
      </c>
      <c r="V31" s="145">
        <f>((Q31*'Emissions Factors'!$D$217)+((Q31*'Emissions Factors'!$E$217)/1000)+((Q31*'Emissions Factors'!$F$217)/1000))/1000</f>
        <v>0</v>
      </c>
      <c r="W31" s="145">
        <f>((R31*'Emissions Factors'!$D$218)+((R31*'Emissions Factors'!$E$218)/1000)+((R31*'Emissions Factors'!$F$218)/1000))/1000</f>
        <v>0</v>
      </c>
      <c r="X31" s="193">
        <f t="shared" si="0"/>
        <v>0</v>
      </c>
      <c r="Y31" s="145">
        <f t="shared" si="1"/>
        <v>1</v>
      </c>
      <c r="Z31" s="145">
        <f>J31*Y31*'Emissions Factors'!$C$259</f>
        <v>0</v>
      </c>
      <c r="AA31" s="145">
        <f t="shared" si="2"/>
        <v>0</v>
      </c>
      <c r="AB31" s="145">
        <f>J31*AA31*'Emissions Factors'!$C$261</f>
        <v>0</v>
      </c>
      <c r="AC31" s="162">
        <f t="shared" si="13"/>
        <v>0</v>
      </c>
      <c r="AD31" s="145">
        <f t="shared" si="3"/>
        <v>0</v>
      </c>
      <c r="AE31" s="418" t="str">
        <f t="shared" si="14"/>
        <v/>
      </c>
      <c r="AF31" s="418" t="str">
        <f t="shared" si="15"/>
        <v/>
      </c>
      <c r="AG31" s="418">
        <f t="shared" si="16"/>
        <v>0</v>
      </c>
    </row>
    <row r="32" spans="1:40" s="121" customFormat="1" ht="13" x14ac:dyDescent="0.15">
      <c r="A32" s="121">
        <v>6</v>
      </c>
      <c r="B32" s="397"/>
      <c r="C32" s="447" t="str">
        <f t="shared" si="4"/>
        <v>Select bottle type</v>
      </c>
      <c r="D32" s="391"/>
      <c r="E32" s="391"/>
      <c r="F32" s="392"/>
      <c r="G32" s="401"/>
      <c r="H32" s="392"/>
      <c r="I32" s="144">
        <f>IF(B32="",0,VLOOKUP(B32,'Emissions Factors'!$B$270:$C$344,2,TRUE))</f>
        <v>0</v>
      </c>
      <c r="J32" s="162">
        <f t="shared" si="5"/>
        <v>0</v>
      </c>
      <c r="K32" s="144" t="e">
        <f>VLOOKUP(G32,'Emissions Factors'!$B$352:$C$358,2,FALSE)</f>
        <v>#N/A</v>
      </c>
      <c r="L32" s="142" t="e">
        <f t="shared" si="6"/>
        <v>#N/A</v>
      </c>
      <c r="M32" s="142">
        <f t="shared" si="7"/>
        <v>0</v>
      </c>
      <c r="N32" s="142">
        <f t="shared" si="8"/>
        <v>0</v>
      </c>
      <c r="O32" s="142">
        <f t="shared" si="9"/>
        <v>0</v>
      </c>
      <c r="P32" s="142">
        <f t="shared" si="10"/>
        <v>0</v>
      </c>
      <c r="Q32" s="142">
        <f t="shared" si="11"/>
        <v>0</v>
      </c>
      <c r="R32" s="142">
        <f t="shared" si="12"/>
        <v>0</v>
      </c>
      <c r="S32" s="145">
        <f>((N32*'Emissions Factors'!$D$214)+((N32*'Emissions Factors'!$E$214)/1000)+((N32*'Emissions Factors'!$F$214)/1000))/1000</f>
        <v>0</v>
      </c>
      <c r="T32" s="145">
        <f>((O32*'Emissions Factors'!$D$215)+((O32*'Emissions Factors'!$E$215)/1000*'Emissions Factors'!$C$75)+((O32*'Emissions Factors'!$F$215)/1000*'Emissions Factors'!$C$76))/1000</f>
        <v>0</v>
      </c>
      <c r="U32" s="145">
        <f>((P32*'Emissions Factors'!$D$216)+((P32*'Emissions Factors'!$E$216)/1000)+((P32*'Emissions Factors'!$F$216)/1000))/1000</f>
        <v>0</v>
      </c>
      <c r="V32" s="145">
        <f>((Q32*'Emissions Factors'!$D$217)+((Q32*'Emissions Factors'!$E$217)/1000)+((Q32*'Emissions Factors'!$F$217)/1000))/1000</f>
        <v>0</v>
      </c>
      <c r="W32" s="145">
        <f>((R32*'Emissions Factors'!$D$218)+((R32*'Emissions Factors'!$E$218)/1000)+((R32*'Emissions Factors'!$F$218)/1000))/1000</f>
        <v>0</v>
      </c>
      <c r="X32" s="193">
        <f t="shared" si="0"/>
        <v>0</v>
      </c>
      <c r="Y32" s="145">
        <f t="shared" si="1"/>
        <v>1</v>
      </c>
      <c r="Z32" s="145">
        <f>J32*Y32*'Emissions Factors'!$C$259</f>
        <v>0</v>
      </c>
      <c r="AA32" s="145">
        <f t="shared" si="2"/>
        <v>0</v>
      </c>
      <c r="AB32" s="145">
        <f>J32*AA32*'Emissions Factors'!$C$261</f>
        <v>0</v>
      </c>
      <c r="AC32" s="162">
        <f t="shared" si="13"/>
        <v>0</v>
      </c>
      <c r="AD32" s="145">
        <f t="shared" si="3"/>
        <v>0</v>
      </c>
      <c r="AE32" s="418" t="str">
        <f t="shared" si="14"/>
        <v/>
      </c>
      <c r="AF32" s="418" t="str">
        <f t="shared" si="15"/>
        <v/>
      </c>
      <c r="AG32" s="418">
        <f t="shared" si="16"/>
        <v>0</v>
      </c>
    </row>
    <row r="33" spans="1:33" s="121" customFormat="1" ht="13" x14ac:dyDescent="0.15">
      <c r="A33" s="121">
        <v>7</v>
      </c>
      <c r="B33" s="397"/>
      <c r="C33" s="447" t="str">
        <f t="shared" si="4"/>
        <v>Select bottle type</v>
      </c>
      <c r="D33" s="391"/>
      <c r="E33" s="391"/>
      <c r="F33" s="392"/>
      <c r="G33" s="401"/>
      <c r="H33" s="392"/>
      <c r="I33" s="144">
        <f>IF(B33="",0,VLOOKUP(B33,'Emissions Factors'!$B$270:$C$344,2,TRUE))</f>
        <v>0</v>
      </c>
      <c r="J33" s="162">
        <f t="shared" si="5"/>
        <v>0</v>
      </c>
      <c r="K33" s="144" t="e">
        <f>VLOOKUP(G33,'Emissions Factors'!$B$352:$C$358,2,FALSE)</f>
        <v>#N/A</v>
      </c>
      <c r="L33" s="142" t="e">
        <f t="shared" si="6"/>
        <v>#N/A</v>
      </c>
      <c r="M33" s="142">
        <f t="shared" si="7"/>
        <v>0</v>
      </c>
      <c r="N33" s="142">
        <f t="shared" si="8"/>
        <v>0</v>
      </c>
      <c r="O33" s="142">
        <f t="shared" si="9"/>
        <v>0</v>
      </c>
      <c r="P33" s="142">
        <f t="shared" si="10"/>
        <v>0</v>
      </c>
      <c r="Q33" s="142">
        <f t="shared" si="11"/>
        <v>0</v>
      </c>
      <c r="R33" s="142">
        <f t="shared" si="12"/>
        <v>0</v>
      </c>
      <c r="S33" s="145">
        <f>((N33*'Emissions Factors'!$D$214)+((N33*'Emissions Factors'!$E$214)/1000)+((N33*'Emissions Factors'!$F$214)/1000))/1000</f>
        <v>0</v>
      </c>
      <c r="T33" s="145">
        <f>((O33*'Emissions Factors'!$D$215)+((O33*'Emissions Factors'!$E$215)/1000*'Emissions Factors'!$C$75)+((O33*'Emissions Factors'!$F$215)/1000*'Emissions Factors'!$C$76))/1000</f>
        <v>0</v>
      </c>
      <c r="U33" s="145">
        <f>((P33*'Emissions Factors'!$D$216)+((P33*'Emissions Factors'!$E$216)/1000)+((P33*'Emissions Factors'!$F$216)/1000))/1000</f>
        <v>0</v>
      </c>
      <c r="V33" s="145">
        <f>((Q33*'Emissions Factors'!$D$217)+((Q33*'Emissions Factors'!$E$217)/1000)+((Q33*'Emissions Factors'!$F$217)/1000))/1000</f>
        <v>0</v>
      </c>
      <c r="W33" s="145">
        <f>((R33*'Emissions Factors'!$D$218)+((R33*'Emissions Factors'!$E$218)/1000)+((R33*'Emissions Factors'!$F$218)/1000))/1000</f>
        <v>0</v>
      </c>
      <c r="X33" s="193">
        <f t="shared" si="0"/>
        <v>0</v>
      </c>
      <c r="Y33" s="145">
        <f t="shared" si="1"/>
        <v>1</v>
      </c>
      <c r="Z33" s="145">
        <f>J33*Y33*'Emissions Factors'!$C$259</f>
        <v>0</v>
      </c>
      <c r="AA33" s="145">
        <f t="shared" si="2"/>
        <v>0</v>
      </c>
      <c r="AB33" s="145">
        <f>J33*AA33*'Emissions Factors'!$C$261</f>
        <v>0</v>
      </c>
      <c r="AC33" s="162">
        <f t="shared" si="13"/>
        <v>0</v>
      </c>
      <c r="AD33" s="145">
        <f t="shared" si="3"/>
        <v>0</v>
      </c>
      <c r="AE33" s="418" t="str">
        <f t="shared" si="14"/>
        <v/>
      </c>
      <c r="AF33" s="418" t="str">
        <f t="shared" si="15"/>
        <v/>
      </c>
      <c r="AG33" s="418">
        <f t="shared" si="16"/>
        <v>0</v>
      </c>
    </row>
    <row r="34" spans="1:33" s="121" customFormat="1" ht="13" x14ac:dyDescent="0.15">
      <c r="A34" s="121">
        <v>8</v>
      </c>
      <c r="B34" s="397"/>
      <c r="C34" s="447" t="str">
        <f t="shared" si="4"/>
        <v>Select bottle type</v>
      </c>
      <c r="D34" s="391"/>
      <c r="E34" s="391"/>
      <c r="F34" s="392"/>
      <c r="G34" s="401"/>
      <c r="H34" s="392"/>
      <c r="I34" s="144">
        <f>IF(B34="",0,VLOOKUP(B34,'Emissions Factors'!$B$270:$C$344,2,TRUE))</f>
        <v>0</v>
      </c>
      <c r="J34" s="162">
        <f t="shared" si="5"/>
        <v>0</v>
      </c>
      <c r="K34" s="144" t="e">
        <f>VLOOKUP(G34,'Emissions Factors'!$B$352:$C$358,2,FALSE)</f>
        <v>#N/A</v>
      </c>
      <c r="L34" s="142" t="e">
        <f t="shared" si="6"/>
        <v>#N/A</v>
      </c>
      <c r="M34" s="142">
        <f t="shared" si="7"/>
        <v>0</v>
      </c>
      <c r="N34" s="142">
        <f t="shared" si="8"/>
        <v>0</v>
      </c>
      <c r="O34" s="142">
        <f t="shared" si="9"/>
        <v>0</v>
      </c>
      <c r="P34" s="142">
        <f t="shared" si="10"/>
        <v>0</v>
      </c>
      <c r="Q34" s="142">
        <f t="shared" si="11"/>
        <v>0</v>
      </c>
      <c r="R34" s="142">
        <f t="shared" si="12"/>
        <v>0</v>
      </c>
      <c r="S34" s="145">
        <f>((N34*'Emissions Factors'!$D$214)+((N34*'Emissions Factors'!$E$214)/1000)+((N34*'Emissions Factors'!$F$214)/1000))/1000</f>
        <v>0</v>
      </c>
      <c r="T34" s="145">
        <f>((O34*'Emissions Factors'!$D$215)+((O34*'Emissions Factors'!$E$215)/1000*'Emissions Factors'!$C$75)+((O34*'Emissions Factors'!$F$215)/1000*'Emissions Factors'!$C$76))/1000</f>
        <v>0</v>
      </c>
      <c r="U34" s="145">
        <f>((P34*'Emissions Factors'!$D$216)+((P34*'Emissions Factors'!$E$216)/1000)+((P34*'Emissions Factors'!$F$216)/1000))/1000</f>
        <v>0</v>
      </c>
      <c r="V34" s="145">
        <f>((Q34*'Emissions Factors'!$D$217)+((Q34*'Emissions Factors'!$E$217)/1000)+((Q34*'Emissions Factors'!$F$217)/1000))/1000</f>
        <v>0</v>
      </c>
      <c r="W34" s="145">
        <f>((R34*'Emissions Factors'!$D$218)+((R34*'Emissions Factors'!$E$218)/1000)+((R34*'Emissions Factors'!$F$218)/1000))/1000</f>
        <v>0</v>
      </c>
      <c r="X34" s="193">
        <f t="shared" si="0"/>
        <v>0</v>
      </c>
      <c r="Y34" s="145">
        <f t="shared" si="1"/>
        <v>1</v>
      </c>
      <c r="Z34" s="145">
        <f>J34*Y34*'Emissions Factors'!$C$259</f>
        <v>0</v>
      </c>
      <c r="AA34" s="145">
        <f t="shared" si="2"/>
        <v>0</v>
      </c>
      <c r="AB34" s="145">
        <f>J34*AA34*'Emissions Factors'!$C$261</f>
        <v>0</v>
      </c>
      <c r="AC34" s="162">
        <f t="shared" si="13"/>
        <v>0</v>
      </c>
      <c r="AD34" s="145">
        <f t="shared" si="3"/>
        <v>0</v>
      </c>
      <c r="AE34" s="418" t="str">
        <f t="shared" si="14"/>
        <v/>
      </c>
      <c r="AF34" s="418" t="str">
        <f t="shared" si="15"/>
        <v/>
      </c>
      <c r="AG34" s="418">
        <f t="shared" si="16"/>
        <v>0</v>
      </c>
    </row>
    <row r="35" spans="1:33" s="121" customFormat="1" ht="13" x14ac:dyDescent="0.15">
      <c r="A35" s="121">
        <v>9</v>
      </c>
      <c r="B35" s="397"/>
      <c r="C35" s="447" t="str">
        <f t="shared" si="4"/>
        <v>Select bottle type</v>
      </c>
      <c r="D35" s="391"/>
      <c r="E35" s="391"/>
      <c r="F35" s="392"/>
      <c r="G35" s="401"/>
      <c r="H35" s="392"/>
      <c r="I35" s="144">
        <f>IF(B35="",0,VLOOKUP(B35,'Emissions Factors'!$B$270:$C$344,2,TRUE))</f>
        <v>0</v>
      </c>
      <c r="J35" s="162">
        <f t="shared" si="5"/>
        <v>0</v>
      </c>
      <c r="K35" s="144" t="e">
        <f>VLOOKUP(G35,'Emissions Factors'!$B$352:$C$358,2,FALSE)</f>
        <v>#N/A</v>
      </c>
      <c r="L35" s="142" t="e">
        <f t="shared" si="6"/>
        <v>#N/A</v>
      </c>
      <c r="M35" s="142">
        <f t="shared" si="7"/>
        <v>0</v>
      </c>
      <c r="N35" s="142">
        <f t="shared" si="8"/>
        <v>0</v>
      </c>
      <c r="O35" s="142">
        <f t="shared" si="9"/>
        <v>0</v>
      </c>
      <c r="P35" s="142">
        <f t="shared" si="10"/>
        <v>0</v>
      </c>
      <c r="Q35" s="142">
        <f t="shared" si="11"/>
        <v>0</v>
      </c>
      <c r="R35" s="142">
        <f t="shared" si="12"/>
        <v>0</v>
      </c>
      <c r="S35" s="145">
        <f>((N35*'Emissions Factors'!$D$214)+((N35*'Emissions Factors'!$E$214)/1000)+((N35*'Emissions Factors'!$F$214)/1000))/1000</f>
        <v>0</v>
      </c>
      <c r="T35" s="145">
        <f>((O35*'Emissions Factors'!$D$215)+((O35*'Emissions Factors'!$E$215)/1000*'Emissions Factors'!$C$75)+((O35*'Emissions Factors'!$F$215)/1000*'Emissions Factors'!$C$76))/1000</f>
        <v>0</v>
      </c>
      <c r="U35" s="145">
        <f>((P35*'Emissions Factors'!$D$216)+((P35*'Emissions Factors'!$E$216)/1000)+((P35*'Emissions Factors'!$F$216)/1000))/1000</f>
        <v>0</v>
      </c>
      <c r="V35" s="145">
        <f>((Q35*'Emissions Factors'!$D$217)+((Q35*'Emissions Factors'!$E$217)/1000)+((Q35*'Emissions Factors'!$F$217)/1000))/1000</f>
        <v>0</v>
      </c>
      <c r="W35" s="145">
        <f>((R35*'Emissions Factors'!$D$218)+((R35*'Emissions Factors'!$E$218)/1000)+((R35*'Emissions Factors'!$F$218)/1000))/1000</f>
        <v>0</v>
      </c>
      <c r="X35" s="193">
        <f t="shared" si="0"/>
        <v>0</v>
      </c>
      <c r="Y35" s="145">
        <f t="shared" si="1"/>
        <v>1</v>
      </c>
      <c r="Z35" s="145">
        <f>J35*Y35*'Emissions Factors'!$C$259</f>
        <v>0</v>
      </c>
      <c r="AA35" s="145">
        <f t="shared" si="2"/>
        <v>0</v>
      </c>
      <c r="AB35" s="145">
        <f>J35*AA35*'Emissions Factors'!$C$261</f>
        <v>0</v>
      </c>
      <c r="AC35" s="162">
        <f t="shared" si="13"/>
        <v>0</v>
      </c>
      <c r="AD35" s="145">
        <f t="shared" si="3"/>
        <v>0</v>
      </c>
      <c r="AE35" s="418" t="str">
        <f t="shared" si="14"/>
        <v/>
      </c>
      <c r="AF35" s="418" t="str">
        <f t="shared" si="15"/>
        <v/>
      </c>
      <c r="AG35" s="418">
        <f t="shared" si="16"/>
        <v>0</v>
      </c>
    </row>
    <row r="36" spans="1:33" s="121" customFormat="1" ht="13" x14ac:dyDescent="0.15">
      <c r="A36" s="121">
        <v>10</v>
      </c>
      <c r="B36" s="397"/>
      <c r="C36" s="447" t="str">
        <f t="shared" si="4"/>
        <v>Select bottle type</v>
      </c>
      <c r="D36" s="391"/>
      <c r="E36" s="391"/>
      <c r="F36" s="392"/>
      <c r="G36" s="401"/>
      <c r="H36" s="392"/>
      <c r="I36" s="144">
        <f>IF(B36="",0,VLOOKUP(B36,'Emissions Factors'!$B$270:$C$344,2,TRUE))</f>
        <v>0</v>
      </c>
      <c r="J36" s="162">
        <f t="shared" si="5"/>
        <v>0</v>
      </c>
      <c r="K36" s="144" t="e">
        <f>VLOOKUP(G36,'Emissions Factors'!$B$352:$C$358,2,FALSE)</f>
        <v>#N/A</v>
      </c>
      <c r="L36" s="142" t="e">
        <f t="shared" si="6"/>
        <v>#N/A</v>
      </c>
      <c r="M36" s="142">
        <f t="shared" si="7"/>
        <v>0</v>
      </c>
      <c r="N36" s="142">
        <f t="shared" si="8"/>
        <v>0</v>
      </c>
      <c r="O36" s="142">
        <f t="shared" si="9"/>
        <v>0</v>
      </c>
      <c r="P36" s="142">
        <f t="shared" si="10"/>
        <v>0</v>
      </c>
      <c r="Q36" s="142">
        <f t="shared" si="11"/>
        <v>0</v>
      </c>
      <c r="R36" s="142">
        <f t="shared" si="12"/>
        <v>0</v>
      </c>
      <c r="S36" s="145">
        <f>((N36*'Emissions Factors'!$D$214)+((N36*'Emissions Factors'!$E$214)/1000)+((N36*'Emissions Factors'!$F$214)/1000))/1000</f>
        <v>0</v>
      </c>
      <c r="T36" s="145">
        <f>((O36*'Emissions Factors'!$D$215)+((O36*'Emissions Factors'!$E$215)/1000*'Emissions Factors'!$C$75)+((O36*'Emissions Factors'!$F$215)/1000*'Emissions Factors'!$C$76))/1000</f>
        <v>0</v>
      </c>
      <c r="U36" s="145">
        <f>((P36*'Emissions Factors'!$D$216)+((P36*'Emissions Factors'!$E$216)/1000)+((P36*'Emissions Factors'!$F$216)/1000))/1000</f>
        <v>0</v>
      </c>
      <c r="V36" s="145">
        <f>((Q36*'Emissions Factors'!$D$217)+((Q36*'Emissions Factors'!$E$217)/1000)+((Q36*'Emissions Factors'!$F$217)/1000))/1000</f>
        <v>0</v>
      </c>
      <c r="W36" s="145">
        <f>((R36*'Emissions Factors'!$D$218)+((R36*'Emissions Factors'!$E$218)/1000)+((R36*'Emissions Factors'!$F$218)/1000))/1000</f>
        <v>0</v>
      </c>
      <c r="X36" s="193">
        <f t="shared" si="0"/>
        <v>0</v>
      </c>
      <c r="Y36" s="145">
        <f t="shared" si="1"/>
        <v>1</v>
      </c>
      <c r="Z36" s="145">
        <f>J36*Y36*'Emissions Factors'!$C$259</f>
        <v>0</v>
      </c>
      <c r="AA36" s="145">
        <f t="shared" si="2"/>
        <v>0</v>
      </c>
      <c r="AB36" s="145">
        <f>J36*AA36*'Emissions Factors'!$C$261</f>
        <v>0</v>
      </c>
      <c r="AC36" s="162">
        <f t="shared" si="13"/>
        <v>0</v>
      </c>
      <c r="AD36" s="145">
        <f t="shared" si="3"/>
        <v>0</v>
      </c>
      <c r="AE36" s="418" t="str">
        <f t="shared" si="14"/>
        <v/>
      </c>
      <c r="AF36" s="418" t="str">
        <f t="shared" si="15"/>
        <v/>
      </c>
      <c r="AG36" s="418">
        <f t="shared" si="16"/>
        <v>0</v>
      </c>
    </row>
    <row r="37" spans="1:33" s="121" customFormat="1" ht="13" x14ac:dyDescent="0.15">
      <c r="A37" s="121">
        <v>11</v>
      </c>
      <c r="B37" s="274" t="s">
        <v>216</v>
      </c>
      <c r="C37" s="391"/>
      <c r="D37" s="391"/>
      <c r="E37" s="391"/>
      <c r="F37" s="392"/>
      <c r="G37" s="401"/>
      <c r="H37" s="392"/>
      <c r="I37" s="144">
        <f>C37</f>
        <v>0</v>
      </c>
      <c r="J37" s="162">
        <f t="shared" si="5"/>
        <v>0</v>
      </c>
      <c r="K37" s="144" t="e">
        <f>VLOOKUP(G37,'Emissions Factors'!$B$352:$C$358,2,FALSE)</f>
        <v>#N/A</v>
      </c>
      <c r="L37" s="142" t="e">
        <f t="shared" si="6"/>
        <v>#N/A</v>
      </c>
      <c r="M37" s="142">
        <f t="shared" si="7"/>
        <v>0</v>
      </c>
      <c r="N37" s="142">
        <f t="shared" si="8"/>
        <v>0</v>
      </c>
      <c r="O37" s="142">
        <f t="shared" si="9"/>
        <v>0</v>
      </c>
      <c r="P37" s="142">
        <f t="shared" si="10"/>
        <v>0</v>
      </c>
      <c r="Q37" s="142">
        <f t="shared" si="11"/>
        <v>0</v>
      </c>
      <c r="R37" s="142">
        <f t="shared" si="12"/>
        <v>0</v>
      </c>
      <c r="S37" s="145">
        <f>((N37*'Emissions Factors'!$D$214)+((N37*'Emissions Factors'!$E$214)/1000)+((N37*'Emissions Factors'!$F$214)/1000))/1000</f>
        <v>0</v>
      </c>
      <c r="T37" s="145">
        <f>((O37*'Emissions Factors'!$D$215)+((O37*'Emissions Factors'!$E$215)/1000*'Emissions Factors'!$C$75)+((O37*'Emissions Factors'!$F$215)/1000*'Emissions Factors'!$C$76))/1000</f>
        <v>0</v>
      </c>
      <c r="U37" s="145">
        <f>((P37*'Emissions Factors'!$D$216)+((P37*'Emissions Factors'!$E$216)/1000)+((P37*'Emissions Factors'!$F$216)/1000))/1000</f>
        <v>0</v>
      </c>
      <c r="V37" s="145">
        <f>((Q37*'Emissions Factors'!$D$217)+((Q37*'Emissions Factors'!$E$217)/1000)+((Q37*'Emissions Factors'!$F$217)/1000))/1000</f>
        <v>0</v>
      </c>
      <c r="W37" s="145">
        <f>((R37*'Emissions Factors'!$D$218)+((R37*'Emissions Factors'!$E$218)/1000)+((R37*'Emissions Factors'!$F$218)/1000))/1000</f>
        <v>0</v>
      </c>
      <c r="X37" s="193">
        <f t="shared" si="0"/>
        <v>0</v>
      </c>
      <c r="Y37" s="145">
        <f t="shared" si="1"/>
        <v>1</v>
      </c>
      <c r="Z37" s="145">
        <f>J37*Y37*'Emissions Factors'!$C$259</f>
        <v>0</v>
      </c>
      <c r="AA37" s="145">
        <f t="shared" si="2"/>
        <v>0</v>
      </c>
      <c r="AB37" s="145">
        <f>J37*AA37*'Emissions Factors'!$C$261</f>
        <v>0</v>
      </c>
      <c r="AC37" s="162">
        <f t="shared" si="13"/>
        <v>0</v>
      </c>
      <c r="AD37" s="145">
        <f t="shared" si="3"/>
        <v>0</v>
      </c>
      <c r="AE37" s="418" t="str">
        <f t="shared" si="14"/>
        <v/>
      </c>
      <c r="AF37" s="418" t="str">
        <f t="shared" si="15"/>
        <v/>
      </c>
      <c r="AG37" s="418">
        <f t="shared" si="16"/>
        <v>0</v>
      </c>
    </row>
    <row r="38" spans="1:33" s="121" customFormat="1" ht="13" x14ac:dyDescent="0.15">
      <c r="A38" s="121">
        <v>12</v>
      </c>
      <c r="B38" s="274" t="s">
        <v>216</v>
      </c>
      <c r="C38" s="391"/>
      <c r="D38" s="391"/>
      <c r="E38" s="391"/>
      <c r="F38" s="392"/>
      <c r="G38" s="401"/>
      <c r="H38" s="392"/>
      <c r="I38" s="144">
        <f t="shared" ref="I38:I46" si="17">C38</f>
        <v>0</v>
      </c>
      <c r="J38" s="162">
        <f t="shared" si="5"/>
        <v>0</v>
      </c>
      <c r="K38" s="144" t="e">
        <f>VLOOKUP(G38,'Emissions Factors'!$B$352:$C$358,2,FALSE)</f>
        <v>#N/A</v>
      </c>
      <c r="L38" s="142" t="e">
        <f t="shared" si="6"/>
        <v>#N/A</v>
      </c>
      <c r="M38" s="142">
        <f t="shared" si="7"/>
        <v>0</v>
      </c>
      <c r="N38" s="142">
        <f t="shared" si="8"/>
        <v>0</v>
      </c>
      <c r="O38" s="142">
        <f t="shared" si="9"/>
        <v>0</v>
      </c>
      <c r="P38" s="142">
        <f t="shared" si="10"/>
        <v>0</v>
      </c>
      <c r="Q38" s="142">
        <f t="shared" si="11"/>
        <v>0</v>
      </c>
      <c r="R38" s="142">
        <f t="shared" si="12"/>
        <v>0</v>
      </c>
      <c r="S38" s="145">
        <f>((N38*'Emissions Factors'!$D$214)+((N38*'Emissions Factors'!$E$214)/1000)+((N38*'Emissions Factors'!$F$214)/1000))/1000</f>
        <v>0</v>
      </c>
      <c r="T38" s="145">
        <f>((O38*'Emissions Factors'!$D$215)+((O38*'Emissions Factors'!$E$215)/1000*'Emissions Factors'!$C$75)+((O38*'Emissions Factors'!$F$215)/1000*'Emissions Factors'!$C$76))/1000</f>
        <v>0</v>
      </c>
      <c r="U38" s="145">
        <f>((P38*'Emissions Factors'!$D$216)+((P38*'Emissions Factors'!$E$216)/1000)+((P38*'Emissions Factors'!$F$216)/1000))/1000</f>
        <v>0</v>
      </c>
      <c r="V38" s="145">
        <f>((Q38*'Emissions Factors'!$D$217)+((Q38*'Emissions Factors'!$E$217)/1000)+((Q38*'Emissions Factors'!$F$217)/1000))/1000</f>
        <v>0</v>
      </c>
      <c r="W38" s="145">
        <f>((R38*'Emissions Factors'!$D$218)+((R38*'Emissions Factors'!$E$218)/1000)+((R38*'Emissions Factors'!$F$218)/1000))/1000</f>
        <v>0</v>
      </c>
      <c r="X38" s="193">
        <f t="shared" si="0"/>
        <v>0</v>
      </c>
      <c r="Y38" s="145">
        <f t="shared" si="1"/>
        <v>1</v>
      </c>
      <c r="Z38" s="145">
        <f>J38*Y38*'Emissions Factors'!$C$259</f>
        <v>0</v>
      </c>
      <c r="AA38" s="145">
        <f t="shared" si="2"/>
        <v>0</v>
      </c>
      <c r="AB38" s="145">
        <f>J38*AA38*'Emissions Factors'!$C$261</f>
        <v>0</v>
      </c>
      <c r="AC38" s="162">
        <f t="shared" si="13"/>
        <v>0</v>
      </c>
      <c r="AD38" s="145">
        <f t="shared" si="3"/>
        <v>0</v>
      </c>
      <c r="AE38" s="418" t="str">
        <f t="shared" si="14"/>
        <v/>
      </c>
      <c r="AF38" s="418" t="str">
        <f t="shared" si="15"/>
        <v/>
      </c>
      <c r="AG38" s="418">
        <f t="shared" si="16"/>
        <v>0</v>
      </c>
    </row>
    <row r="39" spans="1:33" s="121" customFormat="1" ht="13" x14ac:dyDescent="0.15">
      <c r="A39" s="121">
        <v>13</v>
      </c>
      <c r="B39" s="274" t="s">
        <v>216</v>
      </c>
      <c r="C39" s="391"/>
      <c r="D39" s="391"/>
      <c r="E39" s="391"/>
      <c r="F39" s="392"/>
      <c r="G39" s="401"/>
      <c r="H39" s="392"/>
      <c r="I39" s="144">
        <f t="shared" si="17"/>
        <v>0</v>
      </c>
      <c r="J39" s="162">
        <f t="shared" si="5"/>
        <v>0</v>
      </c>
      <c r="K39" s="144" t="e">
        <f>VLOOKUP(G39,'Emissions Factors'!$B$352:$C$358,2,FALSE)</f>
        <v>#N/A</v>
      </c>
      <c r="L39" s="142" t="e">
        <f t="shared" si="6"/>
        <v>#N/A</v>
      </c>
      <c r="M39" s="142">
        <f t="shared" si="7"/>
        <v>0</v>
      </c>
      <c r="N39" s="142">
        <f t="shared" si="8"/>
        <v>0</v>
      </c>
      <c r="O39" s="142">
        <f t="shared" si="9"/>
        <v>0</v>
      </c>
      <c r="P39" s="142">
        <f t="shared" si="10"/>
        <v>0</v>
      </c>
      <c r="Q39" s="142">
        <f t="shared" si="11"/>
        <v>0</v>
      </c>
      <c r="R39" s="142">
        <f t="shared" si="12"/>
        <v>0</v>
      </c>
      <c r="S39" s="145">
        <f>((N39*'Emissions Factors'!$D$214)+((N39*'Emissions Factors'!$E$214)/1000)+((N39*'Emissions Factors'!$F$214)/1000))/1000</f>
        <v>0</v>
      </c>
      <c r="T39" s="145">
        <f>((O39*'Emissions Factors'!$D$215)+((O39*'Emissions Factors'!$E$215)/1000*'Emissions Factors'!$C$75)+((O39*'Emissions Factors'!$F$215)/1000*'Emissions Factors'!$C$76))/1000</f>
        <v>0</v>
      </c>
      <c r="U39" s="145">
        <f>((P39*'Emissions Factors'!$D$216)+((P39*'Emissions Factors'!$E$216)/1000)+((P39*'Emissions Factors'!$F$216)/1000))/1000</f>
        <v>0</v>
      </c>
      <c r="V39" s="145">
        <f>((Q39*'Emissions Factors'!$D$217)+((Q39*'Emissions Factors'!$E$217)/1000)+((Q39*'Emissions Factors'!$F$217)/1000))/1000</f>
        <v>0</v>
      </c>
      <c r="W39" s="145">
        <f>((R39*'Emissions Factors'!$D$218)+((R39*'Emissions Factors'!$E$218)/1000)+((R39*'Emissions Factors'!$F$218)/1000))/1000</f>
        <v>0</v>
      </c>
      <c r="X39" s="193">
        <f t="shared" si="0"/>
        <v>0</v>
      </c>
      <c r="Y39" s="145">
        <f t="shared" si="1"/>
        <v>1</v>
      </c>
      <c r="Z39" s="145">
        <f>J39*Y39*'Emissions Factors'!$C$259</f>
        <v>0</v>
      </c>
      <c r="AA39" s="145">
        <f t="shared" si="2"/>
        <v>0</v>
      </c>
      <c r="AB39" s="145">
        <f>J39*AA39*'Emissions Factors'!$C$261</f>
        <v>0</v>
      </c>
      <c r="AC39" s="162">
        <f t="shared" si="13"/>
        <v>0</v>
      </c>
      <c r="AD39" s="145">
        <f t="shared" si="3"/>
        <v>0</v>
      </c>
      <c r="AE39" s="418" t="str">
        <f t="shared" si="14"/>
        <v/>
      </c>
      <c r="AF39" s="418" t="str">
        <f t="shared" si="15"/>
        <v/>
      </c>
      <c r="AG39" s="418">
        <f t="shared" si="16"/>
        <v>0</v>
      </c>
    </row>
    <row r="40" spans="1:33" s="121" customFormat="1" ht="13" x14ac:dyDescent="0.15">
      <c r="A40" s="121">
        <v>14</v>
      </c>
      <c r="B40" s="274" t="s">
        <v>216</v>
      </c>
      <c r="C40" s="391"/>
      <c r="D40" s="391"/>
      <c r="E40" s="391"/>
      <c r="F40" s="392"/>
      <c r="G40" s="401"/>
      <c r="H40" s="392"/>
      <c r="I40" s="144">
        <f t="shared" si="17"/>
        <v>0</v>
      </c>
      <c r="J40" s="162">
        <f t="shared" si="5"/>
        <v>0</v>
      </c>
      <c r="K40" s="144" t="e">
        <f>VLOOKUP(G40,'Emissions Factors'!$B$352:$C$358,2,FALSE)</f>
        <v>#N/A</v>
      </c>
      <c r="L40" s="142" t="e">
        <f t="shared" si="6"/>
        <v>#N/A</v>
      </c>
      <c r="M40" s="142">
        <f t="shared" si="7"/>
        <v>0</v>
      </c>
      <c r="N40" s="142">
        <f t="shared" si="8"/>
        <v>0</v>
      </c>
      <c r="O40" s="142">
        <f t="shared" si="9"/>
        <v>0</v>
      </c>
      <c r="P40" s="142">
        <f t="shared" si="10"/>
        <v>0</v>
      </c>
      <c r="Q40" s="142">
        <f t="shared" si="11"/>
        <v>0</v>
      </c>
      <c r="R40" s="142">
        <f t="shared" si="12"/>
        <v>0</v>
      </c>
      <c r="S40" s="145">
        <f>((N40*'Emissions Factors'!$D$214)+((N40*'Emissions Factors'!$E$214)/1000)+((N40*'Emissions Factors'!$F$214)/1000))/1000</f>
        <v>0</v>
      </c>
      <c r="T40" s="145">
        <f>((O40*'Emissions Factors'!$D$215)+((O40*'Emissions Factors'!$E$215)/1000*'Emissions Factors'!$C$75)+((O40*'Emissions Factors'!$F$215)/1000*'Emissions Factors'!$C$76))/1000</f>
        <v>0</v>
      </c>
      <c r="U40" s="145">
        <f>((P40*'Emissions Factors'!$D$216)+((P40*'Emissions Factors'!$E$216)/1000)+((P40*'Emissions Factors'!$F$216)/1000))/1000</f>
        <v>0</v>
      </c>
      <c r="V40" s="145">
        <f>((Q40*'Emissions Factors'!$D$217)+((Q40*'Emissions Factors'!$E$217)/1000)+((Q40*'Emissions Factors'!$F$217)/1000))/1000</f>
        <v>0</v>
      </c>
      <c r="W40" s="145">
        <f>((R40*'Emissions Factors'!$D$218)+((R40*'Emissions Factors'!$E$218)/1000)+((R40*'Emissions Factors'!$F$218)/1000))/1000</f>
        <v>0</v>
      </c>
      <c r="X40" s="193">
        <f t="shared" si="0"/>
        <v>0</v>
      </c>
      <c r="Y40" s="145">
        <f t="shared" si="1"/>
        <v>1</v>
      </c>
      <c r="Z40" s="145">
        <f>J40*Y40*'Emissions Factors'!$C$259</f>
        <v>0</v>
      </c>
      <c r="AA40" s="145">
        <f t="shared" si="2"/>
        <v>0</v>
      </c>
      <c r="AB40" s="145">
        <f>J40*AA40*'Emissions Factors'!$C$261</f>
        <v>0</v>
      </c>
      <c r="AC40" s="162">
        <f t="shared" si="13"/>
        <v>0</v>
      </c>
      <c r="AD40" s="145">
        <f t="shared" si="3"/>
        <v>0</v>
      </c>
      <c r="AE40" s="418" t="str">
        <f t="shared" si="14"/>
        <v/>
      </c>
      <c r="AF40" s="418" t="str">
        <f t="shared" si="15"/>
        <v/>
      </c>
      <c r="AG40" s="418">
        <f t="shared" si="16"/>
        <v>0</v>
      </c>
    </row>
    <row r="41" spans="1:33" s="121" customFormat="1" ht="13" x14ac:dyDescent="0.15">
      <c r="A41" s="121">
        <v>15</v>
      </c>
      <c r="B41" s="274" t="s">
        <v>216</v>
      </c>
      <c r="C41" s="391"/>
      <c r="D41" s="391"/>
      <c r="E41" s="391"/>
      <c r="F41" s="392"/>
      <c r="G41" s="401"/>
      <c r="H41" s="392"/>
      <c r="I41" s="144">
        <f t="shared" si="17"/>
        <v>0</v>
      </c>
      <c r="J41" s="162">
        <f t="shared" si="5"/>
        <v>0</v>
      </c>
      <c r="K41" s="144" t="e">
        <f>VLOOKUP(G41,'Emissions Factors'!$B$352:$C$358,2,FALSE)</f>
        <v>#N/A</v>
      </c>
      <c r="L41" s="142" t="e">
        <f t="shared" si="6"/>
        <v>#N/A</v>
      </c>
      <c r="M41" s="142">
        <f t="shared" si="7"/>
        <v>0</v>
      </c>
      <c r="N41" s="142">
        <f t="shared" si="8"/>
        <v>0</v>
      </c>
      <c r="O41" s="142">
        <f t="shared" si="9"/>
        <v>0</v>
      </c>
      <c r="P41" s="142">
        <f t="shared" si="10"/>
        <v>0</v>
      </c>
      <c r="Q41" s="142">
        <f t="shared" si="11"/>
        <v>0</v>
      </c>
      <c r="R41" s="142">
        <f t="shared" si="12"/>
        <v>0</v>
      </c>
      <c r="S41" s="145">
        <f>((N41*'Emissions Factors'!$D$214)+((N41*'Emissions Factors'!$E$214)/1000)+((N41*'Emissions Factors'!$F$214)/1000))/1000</f>
        <v>0</v>
      </c>
      <c r="T41" s="145">
        <f>((O41*'Emissions Factors'!$D$215)+((O41*'Emissions Factors'!$E$215)/1000*'Emissions Factors'!$C$75)+((O41*'Emissions Factors'!$F$215)/1000*'Emissions Factors'!$C$76))/1000</f>
        <v>0</v>
      </c>
      <c r="U41" s="145">
        <f>((P41*'Emissions Factors'!$D$216)+((P41*'Emissions Factors'!$E$216)/1000)+((P41*'Emissions Factors'!$F$216)/1000))/1000</f>
        <v>0</v>
      </c>
      <c r="V41" s="145">
        <f>((Q41*'Emissions Factors'!$D$217)+((Q41*'Emissions Factors'!$E$217)/1000)+((Q41*'Emissions Factors'!$F$217)/1000))/1000</f>
        <v>0</v>
      </c>
      <c r="W41" s="145">
        <f>((R41*'Emissions Factors'!$D$218)+((R41*'Emissions Factors'!$E$218)/1000)+((R41*'Emissions Factors'!$F$218)/1000))/1000</f>
        <v>0</v>
      </c>
      <c r="X41" s="193">
        <f t="shared" si="0"/>
        <v>0</v>
      </c>
      <c r="Y41" s="145">
        <f t="shared" si="1"/>
        <v>1</v>
      </c>
      <c r="Z41" s="145">
        <f>J41*Y41*'Emissions Factors'!$C$259</f>
        <v>0</v>
      </c>
      <c r="AA41" s="145">
        <f t="shared" si="2"/>
        <v>0</v>
      </c>
      <c r="AB41" s="145">
        <f>J41*AA41*'Emissions Factors'!$C$261</f>
        <v>0</v>
      </c>
      <c r="AC41" s="162">
        <f t="shared" si="13"/>
        <v>0</v>
      </c>
      <c r="AD41" s="145">
        <f t="shared" si="3"/>
        <v>0</v>
      </c>
      <c r="AE41" s="418" t="str">
        <f t="shared" si="14"/>
        <v/>
      </c>
      <c r="AF41" s="418" t="str">
        <f t="shared" si="15"/>
        <v/>
      </c>
      <c r="AG41" s="418">
        <f t="shared" si="16"/>
        <v>0</v>
      </c>
    </row>
    <row r="42" spans="1:33" s="121" customFormat="1" ht="13" x14ac:dyDescent="0.15">
      <c r="A42" s="121">
        <v>16</v>
      </c>
      <c r="B42" s="274" t="s">
        <v>216</v>
      </c>
      <c r="C42" s="391"/>
      <c r="D42" s="391"/>
      <c r="E42" s="391"/>
      <c r="F42" s="392"/>
      <c r="G42" s="401"/>
      <c r="H42" s="392"/>
      <c r="I42" s="144">
        <f t="shared" si="17"/>
        <v>0</v>
      </c>
      <c r="J42" s="162">
        <f t="shared" si="5"/>
        <v>0</v>
      </c>
      <c r="K42" s="144" t="e">
        <f>VLOOKUP(G42,'Emissions Factors'!$B$352:$C$358,2,FALSE)</f>
        <v>#N/A</v>
      </c>
      <c r="L42" s="142" t="e">
        <f t="shared" si="6"/>
        <v>#N/A</v>
      </c>
      <c r="M42" s="142">
        <f t="shared" si="7"/>
        <v>0</v>
      </c>
      <c r="N42" s="142">
        <f t="shared" si="8"/>
        <v>0</v>
      </c>
      <c r="O42" s="142">
        <f t="shared" si="9"/>
        <v>0</v>
      </c>
      <c r="P42" s="142">
        <f t="shared" si="10"/>
        <v>0</v>
      </c>
      <c r="Q42" s="142">
        <f t="shared" si="11"/>
        <v>0</v>
      </c>
      <c r="R42" s="142">
        <f t="shared" si="12"/>
        <v>0</v>
      </c>
      <c r="S42" s="145">
        <f>((N42*'Emissions Factors'!$D$214)+((N42*'Emissions Factors'!$E$214)/1000)+((N42*'Emissions Factors'!$F$214)/1000))/1000</f>
        <v>0</v>
      </c>
      <c r="T42" s="145">
        <f>((O42*'Emissions Factors'!$D$215)+((O42*'Emissions Factors'!$E$215)/1000*'Emissions Factors'!$C$75)+((O42*'Emissions Factors'!$F$215)/1000*'Emissions Factors'!$C$76))/1000</f>
        <v>0</v>
      </c>
      <c r="U42" s="145">
        <f>((P42*'Emissions Factors'!$D$216)+((P42*'Emissions Factors'!$E$216)/1000)+((P42*'Emissions Factors'!$F$216)/1000))/1000</f>
        <v>0</v>
      </c>
      <c r="V42" s="145">
        <f>((Q42*'Emissions Factors'!$D$217)+((Q42*'Emissions Factors'!$E$217)/1000)+((Q42*'Emissions Factors'!$F$217)/1000))/1000</f>
        <v>0</v>
      </c>
      <c r="W42" s="145">
        <f>((R42*'Emissions Factors'!$D$218)+((R42*'Emissions Factors'!$E$218)/1000)+((R42*'Emissions Factors'!$F$218)/1000))/1000</f>
        <v>0</v>
      </c>
      <c r="X42" s="193">
        <f t="shared" si="0"/>
        <v>0</v>
      </c>
      <c r="Y42" s="145">
        <f t="shared" si="1"/>
        <v>1</v>
      </c>
      <c r="Z42" s="145">
        <f>J42*Y42*'Emissions Factors'!$C$259</f>
        <v>0</v>
      </c>
      <c r="AA42" s="145">
        <f t="shared" si="2"/>
        <v>0</v>
      </c>
      <c r="AB42" s="145">
        <f>J42*AA42*'Emissions Factors'!$C$261</f>
        <v>0</v>
      </c>
      <c r="AC42" s="162">
        <f t="shared" si="13"/>
        <v>0</v>
      </c>
      <c r="AD42" s="145">
        <f t="shared" si="3"/>
        <v>0</v>
      </c>
      <c r="AE42" s="418" t="str">
        <f t="shared" si="14"/>
        <v/>
      </c>
      <c r="AF42" s="418" t="str">
        <f t="shared" si="15"/>
        <v/>
      </c>
      <c r="AG42" s="418">
        <f t="shared" si="16"/>
        <v>0</v>
      </c>
    </row>
    <row r="43" spans="1:33" s="121" customFormat="1" ht="13" x14ac:dyDescent="0.15">
      <c r="A43" s="121">
        <v>17</v>
      </c>
      <c r="B43" s="274" t="s">
        <v>216</v>
      </c>
      <c r="C43" s="391"/>
      <c r="D43" s="391"/>
      <c r="E43" s="391"/>
      <c r="F43" s="392"/>
      <c r="G43" s="401"/>
      <c r="H43" s="392"/>
      <c r="I43" s="144">
        <f t="shared" si="17"/>
        <v>0</v>
      </c>
      <c r="J43" s="162">
        <f t="shared" si="5"/>
        <v>0</v>
      </c>
      <c r="K43" s="144" t="e">
        <f>VLOOKUP(G43,'Emissions Factors'!$B$352:$C$358,2,FALSE)</f>
        <v>#N/A</v>
      </c>
      <c r="L43" s="142" t="e">
        <f t="shared" si="6"/>
        <v>#N/A</v>
      </c>
      <c r="M43" s="142">
        <f t="shared" si="7"/>
        <v>0</v>
      </c>
      <c r="N43" s="142">
        <f t="shared" si="8"/>
        <v>0</v>
      </c>
      <c r="O43" s="142">
        <f t="shared" si="9"/>
        <v>0</v>
      </c>
      <c r="P43" s="142">
        <f t="shared" si="10"/>
        <v>0</v>
      </c>
      <c r="Q43" s="142">
        <f t="shared" si="11"/>
        <v>0</v>
      </c>
      <c r="R43" s="142">
        <f t="shared" si="12"/>
        <v>0</v>
      </c>
      <c r="S43" s="145">
        <f>((N43*'Emissions Factors'!$D$214)+((N43*'Emissions Factors'!$E$214)/1000)+((N43*'Emissions Factors'!$F$214)/1000))/1000</f>
        <v>0</v>
      </c>
      <c r="T43" s="145">
        <f>((O43*'Emissions Factors'!$D$215)+((O43*'Emissions Factors'!$E$215)/1000*'Emissions Factors'!$C$75)+((O43*'Emissions Factors'!$F$215)/1000*'Emissions Factors'!$C$76))/1000</f>
        <v>0</v>
      </c>
      <c r="U43" s="145">
        <f>((P43*'Emissions Factors'!$D$216)+((P43*'Emissions Factors'!$E$216)/1000)+((P43*'Emissions Factors'!$F$216)/1000))/1000</f>
        <v>0</v>
      </c>
      <c r="V43" s="145">
        <f>((Q43*'Emissions Factors'!$D$217)+((Q43*'Emissions Factors'!$E$217)/1000)+((Q43*'Emissions Factors'!$F$217)/1000))/1000</f>
        <v>0</v>
      </c>
      <c r="W43" s="145">
        <f>((R43*'Emissions Factors'!$D$218)+((R43*'Emissions Factors'!$E$218)/1000)+((R43*'Emissions Factors'!$F$218)/1000))/1000</f>
        <v>0</v>
      </c>
      <c r="X43" s="193">
        <f t="shared" si="0"/>
        <v>0</v>
      </c>
      <c r="Y43" s="145">
        <f t="shared" si="1"/>
        <v>1</v>
      </c>
      <c r="Z43" s="145">
        <f>J43*Y43*'Emissions Factors'!$C$259</f>
        <v>0</v>
      </c>
      <c r="AA43" s="145">
        <f t="shared" si="2"/>
        <v>0</v>
      </c>
      <c r="AB43" s="145">
        <f>J43*AA43*'Emissions Factors'!$C$261</f>
        <v>0</v>
      </c>
      <c r="AC43" s="162">
        <f t="shared" si="13"/>
        <v>0</v>
      </c>
      <c r="AD43" s="145">
        <f t="shared" si="3"/>
        <v>0</v>
      </c>
      <c r="AE43" s="418" t="str">
        <f t="shared" si="14"/>
        <v/>
      </c>
      <c r="AF43" s="418" t="str">
        <f t="shared" si="15"/>
        <v/>
      </c>
      <c r="AG43" s="418">
        <f t="shared" si="16"/>
        <v>0</v>
      </c>
    </row>
    <row r="44" spans="1:33" s="121" customFormat="1" ht="13" x14ac:dyDescent="0.15">
      <c r="A44" s="121">
        <v>18</v>
      </c>
      <c r="B44" s="274" t="s">
        <v>216</v>
      </c>
      <c r="C44" s="391"/>
      <c r="D44" s="391"/>
      <c r="E44" s="391"/>
      <c r="F44" s="392"/>
      <c r="G44" s="401"/>
      <c r="H44" s="392"/>
      <c r="I44" s="144">
        <f t="shared" si="17"/>
        <v>0</v>
      </c>
      <c r="J44" s="162">
        <f t="shared" si="5"/>
        <v>0</v>
      </c>
      <c r="K44" s="144" t="e">
        <f>VLOOKUP(G44,'Emissions Factors'!$B$352:$C$358,2,FALSE)</f>
        <v>#N/A</v>
      </c>
      <c r="L44" s="142" t="e">
        <f t="shared" si="6"/>
        <v>#N/A</v>
      </c>
      <c r="M44" s="142">
        <f t="shared" si="7"/>
        <v>0</v>
      </c>
      <c r="N44" s="142">
        <f t="shared" si="8"/>
        <v>0</v>
      </c>
      <c r="O44" s="142">
        <f t="shared" si="9"/>
        <v>0</v>
      </c>
      <c r="P44" s="142">
        <f t="shared" si="10"/>
        <v>0</v>
      </c>
      <c r="Q44" s="142">
        <f t="shared" si="11"/>
        <v>0</v>
      </c>
      <c r="R44" s="142">
        <f t="shared" si="12"/>
        <v>0</v>
      </c>
      <c r="S44" s="145">
        <f>((N44*'Emissions Factors'!$D$214)+((N44*'Emissions Factors'!$E$214)/1000)+((N44*'Emissions Factors'!$F$214)/1000))/1000</f>
        <v>0</v>
      </c>
      <c r="T44" s="145">
        <f>((O44*'Emissions Factors'!$D$215)+((O44*'Emissions Factors'!$E$215)/1000*'Emissions Factors'!$C$75)+((O44*'Emissions Factors'!$F$215)/1000*'Emissions Factors'!$C$76))/1000</f>
        <v>0</v>
      </c>
      <c r="U44" s="145">
        <f>((P44*'Emissions Factors'!$D$216)+((P44*'Emissions Factors'!$E$216)/1000)+((P44*'Emissions Factors'!$F$216)/1000))/1000</f>
        <v>0</v>
      </c>
      <c r="V44" s="145">
        <f>((Q44*'Emissions Factors'!$D$217)+((Q44*'Emissions Factors'!$E$217)/1000)+((Q44*'Emissions Factors'!$F$217)/1000))/1000</f>
        <v>0</v>
      </c>
      <c r="W44" s="145">
        <f>((R44*'Emissions Factors'!$D$218)+((R44*'Emissions Factors'!$E$218)/1000)+((R44*'Emissions Factors'!$F$218)/1000))/1000</f>
        <v>0</v>
      </c>
      <c r="X44" s="193">
        <f t="shared" si="0"/>
        <v>0</v>
      </c>
      <c r="Y44" s="145">
        <f t="shared" si="1"/>
        <v>1</v>
      </c>
      <c r="Z44" s="145">
        <f>J44*Y44*'Emissions Factors'!$C$259</f>
        <v>0</v>
      </c>
      <c r="AA44" s="145">
        <f t="shared" si="2"/>
        <v>0</v>
      </c>
      <c r="AB44" s="145">
        <f>J44*AA44*'Emissions Factors'!$C$261</f>
        <v>0</v>
      </c>
      <c r="AC44" s="162">
        <f t="shared" si="13"/>
        <v>0</v>
      </c>
      <c r="AD44" s="145">
        <f t="shared" si="3"/>
        <v>0</v>
      </c>
      <c r="AE44" s="418" t="str">
        <f t="shared" si="14"/>
        <v/>
      </c>
      <c r="AF44" s="418" t="str">
        <f t="shared" si="15"/>
        <v/>
      </c>
      <c r="AG44" s="418">
        <f t="shared" si="16"/>
        <v>0</v>
      </c>
    </row>
    <row r="45" spans="1:33" s="121" customFormat="1" ht="13" x14ac:dyDescent="0.15">
      <c r="A45" s="121">
        <v>19</v>
      </c>
      <c r="B45" s="274" t="s">
        <v>216</v>
      </c>
      <c r="C45" s="391"/>
      <c r="D45" s="391"/>
      <c r="E45" s="391"/>
      <c r="F45" s="392"/>
      <c r="G45" s="401"/>
      <c r="H45" s="392"/>
      <c r="I45" s="144">
        <f t="shared" si="17"/>
        <v>0</v>
      </c>
      <c r="J45" s="162">
        <f t="shared" si="5"/>
        <v>0</v>
      </c>
      <c r="K45" s="144" t="e">
        <f>VLOOKUP(G45,'Emissions Factors'!$B$352:$C$358,2,FALSE)</f>
        <v>#N/A</v>
      </c>
      <c r="L45" s="142" t="e">
        <f t="shared" si="6"/>
        <v>#N/A</v>
      </c>
      <c r="M45" s="142">
        <f t="shared" si="7"/>
        <v>0</v>
      </c>
      <c r="N45" s="142">
        <f t="shared" si="8"/>
        <v>0</v>
      </c>
      <c r="O45" s="142">
        <f t="shared" si="9"/>
        <v>0</v>
      </c>
      <c r="P45" s="142">
        <f t="shared" si="10"/>
        <v>0</v>
      </c>
      <c r="Q45" s="142">
        <f t="shared" si="11"/>
        <v>0</v>
      </c>
      <c r="R45" s="142">
        <f t="shared" si="12"/>
        <v>0</v>
      </c>
      <c r="S45" s="145">
        <f>((N45*'Emissions Factors'!$D$214)+((N45*'Emissions Factors'!$E$214)/1000)+((N45*'Emissions Factors'!$F$214)/1000))/1000</f>
        <v>0</v>
      </c>
      <c r="T45" s="145">
        <f>((O45*'Emissions Factors'!$D$215)+((O45*'Emissions Factors'!$E$215)/1000*'Emissions Factors'!$C$75)+((O45*'Emissions Factors'!$F$215)/1000*'Emissions Factors'!$C$76))/1000</f>
        <v>0</v>
      </c>
      <c r="U45" s="145">
        <f>((P45*'Emissions Factors'!$D$216)+((P45*'Emissions Factors'!$E$216)/1000)+((P45*'Emissions Factors'!$F$216)/1000))/1000</f>
        <v>0</v>
      </c>
      <c r="V45" s="145">
        <f>((Q45*'Emissions Factors'!$D$217)+((Q45*'Emissions Factors'!$E$217)/1000)+((Q45*'Emissions Factors'!$F$217)/1000))/1000</f>
        <v>0</v>
      </c>
      <c r="W45" s="145">
        <f>((R45*'Emissions Factors'!$D$218)+((R45*'Emissions Factors'!$E$218)/1000)+((R45*'Emissions Factors'!$F$218)/1000))/1000</f>
        <v>0</v>
      </c>
      <c r="X45" s="193">
        <f t="shared" si="0"/>
        <v>0</v>
      </c>
      <c r="Y45" s="145">
        <f t="shared" si="1"/>
        <v>1</v>
      </c>
      <c r="Z45" s="145">
        <f>J45*Y45*'Emissions Factors'!$C$259</f>
        <v>0</v>
      </c>
      <c r="AA45" s="145">
        <f t="shared" si="2"/>
        <v>0</v>
      </c>
      <c r="AB45" s="145">
        <f>J45*AA45*'Emissions Factors'!$C$261</f>
        <v>0</v>
      </c>
      <c r="AC45" s="162">
        <f t="shared" si="13"/>
        <v>0</v>
      </c>
      <c r="AD45" s="145">
        <f t="shared" si="3"/>
        <v>0</v>
      </c>
      <c r="AE45" s="418" t="str">
        <f t="shared" si="14"/>
        <v/>
      </c>
      <c r="AF45" s="418" t="str">
        <f t="shared" si="15"/>
        <v/>
      </c>
      <c r="AG45" s="418">
        <f t="shared" si="16"/>
        <v>0</v>
      </c>
    </row>
    <row r="46" spans="1:33" s="121" customFormat="1" ht="13" x14ac:dyDescent="0.15">
      <c r="A46" s="121">
        <v>20</v>
      </c>
      <c r="B46" s="274" t="s">
        <v>216</v>
      </c>
      <c r="C46" s="391"/>
      <c r="D46" s="391"/>
      <c r="E46" s="391"/>
      <c r="F46" s="392"/>
      <c r="G46" s="401"/>
      <c r="H46" s="392"/>
      <c r="I46" s="144">
        <f t="shared" si="17"/>
        <v>0</v>
      </c>
      <c r="J46" s="162">
        <f t="shared" si="5"/>
        <v>0</v>
      </c>
      <c r="K46" s="144" t="e">
        <f>VLOOKUP(G46,'Emissions Factors'!$B$352:$C$358,2,FALSE)</f>
        <v>#N/A</v>
      </c>
      <c r="L46" s="142" t="e">
        <f t="shared" si="6"/>
        <v>#N/A</v>
      </c>
      <c r="M46" s="142">
        <f t="shared" si="7"/>
        <v>0</v>
      </c>
      <c r="N46" s="142">
        <f t="shared" si="8"/>
        <v>0</v>
      </c>
      <c r="O46" s="142">
        <f t="shared" si="9"/>
        <v>0</v>
      </c>
      <c r="P46" s="142">
        <f t="shared" si="10"/>
        <v>0</v>
      </c>
      <c r="Q46" s="142">
        <f t="shared" si="11"/>
        <v>0</v>
      </c>
      <c r="R46" s="142">
        <f t="shared" si="12"/>
        <v>0</v>
      </c>
      <c r="S46" s="145">
        <f>((N46*'Emissions Factors'!$D$214)+((N46*'Emissions Factors'!$E$214)/1000)+((N46*'Emissions Factors'!$F$214)/1000))/1000</f>
        <v>0</v>
      </c>
      <c r="T46" s="145">
        <f>((O46*'Emissions Factors'!$D$215)+((O46*'Emissions Factors'!$E$215)/1000*'Emissions Factors'!$C$75)+((O46*'Emissions Factors'!$F$215)/1000*'Emissions Factors'!$C$76))/1000</f>
        <v>0</v>
      </c>
      <c r="U46" s="145">
        <f>((P46*'Emissions Factors'!$D$216)+((P46*'Emissions Factors'!$E$216)/1000)+((P46*'Emissions Factors'!$F$216)/1000))/1000</f>
        <v>0</v>
      </c>
      <c r="V46" s="145">
        <f>((Q46*'Emissions Factors'!$D$217)+((Q46*'Emissions Factors'!$E$217)/1000)+((Q46*'Emissions Factors'!$F$217)/1000))/1000</f>
        <v>0</v>
      </c>
      <c r="W46" s="145">
        <f>((R46*'Emissions Factors'!$D$218)+((R46*'Emissions Factors'!$E$218)/1000)+((R46*'Emissions Factors'!$F$218)/1000))/1000</f>
        <v>0</v>
      </c>
      <c r="X46" s="193">
        <f t="shared" si="0"/>
        <v>0</v>
      </c>
      <c r="Y46" s="145">
        <f t="shared" si="1"/>
        <v>1</v>
      </c>
      <c r="Z46" s="145">
        <f>J46*Y46*'Emissions Factors'!$C$259</f>
        <v>0</v>
      </c>
      <c r="AA46" s="145">
        <f>F46</f>
        <v>0</v>
      </c>
      <c r="AB46" s="145">
        <f>J46*AA46*'Emissions Factors'!$C$261</f>
        <v>0</v>
      </c>
      <c r="AC46" s="162">
        <f t="shared" si="13"/>
        <v>0</v>
      </c>
      <c r="AD46" s="145">
        <f t="shared" si="3"/>
        <v>0</v>
      </c>
      <c r="AE46" s="418" t="str">
        <f t="shared" si="14"/>
        <v/>
      </c>
      <c r="AF46" s="418" t="str">
        <f t="shared" si="15"/>
        <v/>
      </c>
      <c r="AG46" s="418">
        <f t="shared" si="16"/>
        <v>0</v>
      </c>
    </row>
    <row r="47" spans="1:33" s="121" customFormat="1" ht="13" x14ac:dyDescent="0.15">
      <c r="B47" s="140"/>
      <c r="C47" s="140"/>
      <c r="D47" s="140"/>
    </row>
    <row r="48" spans="1:33" s="121" customFormat="1" ht="13" x14ac:dyDescent="0.15">
      <c r="B48" s="140"/>
      <c r="C48" s="140"/>
      <c r="D48" s="140"/>
    </row>
    <row r="49" spans="2:33" ht="18" x14ac:dyDescent="0.2">
      <c r="B49" s="254" t="s">
        <v>914</v>
      </c>
      <c r="C49" s="189"/>
      <c r="D49" s="189"/>
      <c r="E49" s="189"/>
      <c r="F49" s="189"/>
      <c r="G49" s="189"/>
      <c r="H49" s="189"/>
    </row>
    <row r="50" spans="2:33" s="121" customFormat="1" ht="36" customHeight="1" x14ac:dyDescent="0.15">
      <c r="B50" s="564" t="s">
        <v>919</v>
      </c>
      <c r="C50" s="564"/>
      <c r="D50" s="564"/>
      <c r="E50" s="564"/>
      <c r="F50" s="564"/>
      <c r="G50" s="564"/>
      <c r="H50" s="564"/>
      <c r="AC50" s="2"/>
      <c r="AD50" s="2"/>
      <c r="AG50" s="192"/>
    </row>
    <row r="51" spans="2:33" s="121" customFormat="1" ht="17" customHeight="1" x14ac:dyDescent="0.15">
      <c r="B51" s="4" t="s">
        <v>915</v>
      </c>
      <c r="C51" s="4"/>
      <c r="D51" s="4" t="s">
        <v>482</v>
      </c>
      <c r="E51" s="141"/>
      <c r="F51" s="4" t="s">
        <v>918</v>
      </c>
      <c r="AC51" s="2"/>
      <c r="AD51" s="2"/>
      <c r="AG51" s="192" t="s">
        <v>848</v>
      </c>
    </row>
    <row r="52" spans="2:33" s="121" customFormat="1" ht="15" x14ac:dyDescent="0.2">
      <c r="B52" s="391" t="s">
        <v>916</v>
      </c>
      <c r="C52" s="140"/>
      <c r="D52" s="402"/>
      <c r="E52" s="4" t="s">
        <v>917</v>
      </c>
      <c r="F52" s="460"/>
      <c r="G52" s="140"/>
      <c r="AC52" s="2"/>
      <c r="AD52" s="145">
        <f>D52*F52</f>
        <v>0</v>
      </c>
      <c r="AG52" s="418">
        <f t="shared" ref="AG52:AG53" si="18">AD52</f>
        <v>0</v>
      </c>
    </row>
    <row r="53" spans="2:33" s="121" customFormat="1" ht="15" x14ac:dyDescent="0.2">
      <c r="B53" s="391" t="s">
        <v>916</v>
      </c>
      <c r="C53" s="140"/>
      <c r="D53" s="402"/>
      <c r="E53" s="4" t="s">
        <v>917</v>
      </c>
      <c r="F53" s="460"/>
      <c r="G53" s="140"/>
      <c r="AC53" s="2"/>
      <c r="AD53" s="145">
        <f>D53*F53</f>
        <v>0</v>
      </c>
      <c r="AG53" s="418">
        <f t="shared" si="18"/>
        <v>0</v>
      </c>
    </row>
    <row r="54" spans="2:33" s="121" customFormat="1" ht="13" x14ac:dyDescent="0.15">
      <c r="B54" s="140"/>
      <c r="C54" s="140"/>
      <c r="D54" s="140"/>
    </row>
    <row r="55" spans="2:33" ht="18" x14ac:dyDescent="0.2">
      <c r="B55" s="189" t="s">
        <v>433</v>
      </c>
      <c r="C55" s="189"/>
      <c r="D55" s="189"/>
      <c r="E55" s="189"/>
      <c r="F55" s="189"/>
      <c r="G55" s="189"/>
      <c r="H55" s="189"/>
    </row>
    <row r="56" spans="2:33" x14ac:dyDescent="0.15">
      <c r="B56" s="539"/>
      <c r="C56" s="540"/>
      <c r="D56" s="540"/>
      <c r="E56" s="540"/>
      <c r="F56" s="540"/>
      <c r="G56" s="540"/>
      <c r="H56" s="541"/>
    </row>
    <row r="57" spans="2:33" ht="15" customHeight="1" x14ac:dyDescent="0.15">
      <c r="B57" s="542"/>
      <c r="C57" s="543"/>
      <c r="D57" s="543"/>
      <c r="E57" s="543"/>
      <c r="F57" s="543"/>
      <c r="G57" s="543"/>
      <c r="H57" s="544"/>
    </row>
    <row r="58" spans="2:33" x14ac:dyDescent="0.15">
      <c r="B58" s="542"/>
      <c r="C58" s="543"/>
      <c r="D58" s="543"/>
      <c r="E58" s="543"/>
      <c r="F58" s="543"/>
      <c r="G58" s="543"/>
      <c r="H58" s="544"/>
    </row>
    <row r="59" spans="2:33" x14ac:dyDescent="0.15">
      <c r="B59" s="542"/>
      <c r="C59" s="543"/>
      <c r="D59" s="543"/>
      <c r="E59" s="543"/>
      <c r="F59" s="543"/>
      <c r="G59" s="543"/>
      <c r="H59" s="544"/>
    </row>
    <row r="60" spans="2:33" x14ac:dyDescent="0.15">
      <c r="B60" s="542"/>
      <c r="C60" s="543"/>
      <c r="D60" s="543"/>
      <c r="E60" s="543"/>
      <c r="F60" s="543"/>
      <c r="G60" s="543"/>
      <c r="H60" s="544"/>
    </row>
    <row r="61" spans="2:33" x14ac:dyDescent="0.15">
      <c r="B61" s="545"/>
      <c r="C61" s="546"/>
      <c r="D61" s="546"/>
      <c r="E61" s="546"/>
      <c r="F61" s="546"/>
      <c r="G61" s="546"/>
      <c r="H61" s="547"/>
    </row>
  </sheetData>
  <sheetProtection algorithmName="SHA-512" hashValue="UzvYfJZljPqV9sFzzOt28jZB15WGoNdb6AxryuemjUIpqk9VhnZOJw6kvc25WKwzlQPXzPQZKQ/CfAskjVKvKQ==" saltValue="8lfNzIfo3lIcoTaTNdetZw==" spinCount="100000" sheet="1" objects="1" scenarios="1" formatColumns="0" formatRows="0"/>
  <mergeCells count="7">
    <mergeCell ref="AE2:AI3"/>
    <mergeCell ref="B25:F25"/>
    <mergeCell ref="B4:F4"/>
    <mergeCell ref="B56:H61"/>
    <mergeCell ref="D5:F5"/>
    <mergeCell ref="AG5:AN5"/>
    <mergeCell ref="B50:H50"/>
  </mergeCells>
  <hyperlinks>
    <hyperlink ref="AE9" r:id="rId1" xr:uid="{CFF1F44F-2BE2-8B4A-B89E-7842E35B966B}"/>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0000000}">
          <x14:formula1>
            <xm:f>'Emissions Factors'!$H$270:$H$290</xm:f>
          </x14:formula1>
          <xm:sqref>F27:F46</xm:sqref>
        </x14:dataValidation>
        <x14:dataValidation type="list" allowBlank="1" showInputMessage="1" showErrorMessage="1" xr:uid="{00000000-0002-0000-0A00-000001000000}">
          <x14:formula1>
            <xm:f>'Emissions Factors'!$B$270:$B$344</xm:f>
          </x14:formula1>
          <xm:sqref>B27:B36</xm:sqref>
        </x14:dataValidation>
        <x14:dataValidation type="list" allowBlank="1" showInputMessage="1" showErrorMessage="1" xr:uid="{00000000-0002-0000-0A00-000002000000}">
          <x14:formula1>
            <xm:f>'Emissions Factors'!$B$352:$B$358</xm:f>
          </x14:formula1>
          <xm:sqref>G27:G46</xm:sqref>
        </x14:dataValidation>
        <x14:dataValidation type="list" allowBlank="1" showInputMessage="1" showErrorMessage="1" xr:uid="{00000000-0002-0000-0A00-000003000000}">
          <x14:formula1>
            <xm:f>'Emissions Factors'!$I$352:$I$356</xm:f>
          </x14:formula1>
          <xm:sqref>H27:H46</xm:sqref>
        </x14:dataValidation>
      </x14:dataValidation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pageSetUpPr fitToPage="1"/>
  </sheetPr>
  <dimension ref="A1:AU184"/>
  <sheetViews>
    <sheetView zoomScaleNormal="100" workbookViewId="0">
      <selection activeCell="C22" sqref="C22"/>
    </sheetView>
  </sheetViews>
  <sheetFormatPr baseColWidth="10" defaultColWidth="9.1640625" defaultRowHeight="14" outlineLevelCol="1" x14ac:dyDescent="0.15"/>
  <cols>
    <col min="1" max="1" width="3.33203125" style="2" customWidth="1"/>
    <col min="2" max="2" width="30.1640625" style="10" customWidth="1"/>
    <col min="3" max="14" width="7.33203125" style="2" customWidth="1"/>
    <col min="15" max="15" width="6.83203125" style="107" hidden="1" customWidth="1" outlineLevel="1"/>
    <col min="16" max="18" width="10.6640625" style="107" hidden="1" customWidth="1" outlineLevel="1"/>
    <col min="19" max="24" width="9.1640625" style="107" hidden="1" customWidth="1" outlineLevel="1"/>
    <col min="25" max="25" width="9.1640625" style="2" collapsed="1"/>
    <col min="26" max="26" width="2.1640625" style="2" customWidth="1"/>
    <col min="27" max="47" width="9.1640625" style="2"/>
    <col min="48" max="16384" width="9.1640625" style="107"/>
  </cols>
  <sheetData>
    <row r="1" spans="1:47" ht="30" customHeight="1" x14ac:dyDescent="0.25">
      <c r="A1" s="114"/>
      <c r="B1" s="1" t="s">
        <v>739</v>
      </c>
      <c r="O1" s="115"/>
      <c r="P1" s="115"/>
      <c r="Q1" s="2"/>
      <c r="R1" s="2"/>
      <c r="S1" s="2"/>
      <c r="T1" s="2"/>
      <c r="U1" s="2"/>
      <c r="V1" s="2"/>
      <c r="W1" s="2"/>
      <c r="X1" s="2"/>
      <c r="Y1" s="2" t="s">
        <v>892</v>
      </c>
    </row>
    <row r="2" spans="1:47" ht="25.5" customHeight="1" x14ac:dyDescent="0.25">
      <c r="B2" s="194" t="s">
        <v>626</v>
      </c>
      <c r="C2" s="188"/>
      <c r="D2" s="6">
        <f>SUM(X22:X31)</f>
        <v>0</v>
      </c>
      <c r="E2" s="7" t="s">
        <v>497</v>
      </c>
      <c r="F2" s="7"/>
      <c r="M2" s="123"/>
      <c r="O2" s="2"/>
      <c r="P2" s="2"/>
      <c r="Q2" s="2"/>
      <c r="R2" s="2"/>
      <c r="S2" s="2"/>
      <c r="T2" s="2"/>
      <c r="U2" s="2"/>
      <c r="V2" s="2"/>
      <c r="W2" s="2"/>
      <c r="X2" s="2"/>
    </row>
    <row r="3" spans="1:47" ht="23" x14ac:dyDescent="0.25">
      <c r="A3" s="114"/>
      <c r="B3" s="119" t="s">
        <v>200</v>
      </c>
      <c r="O3" s="2"/>
      <c r="P3" s="2"/>
      <c r="Q3" s="2"/>
      <c r="R3" s="2"/>
      <c r="S3" s="2"/>
      <c r="T3" s="2"/>
      <c r="U3" s="2"/>
      <c r="V3" s="2"/>
      <c r="W3" s="2"/>
      <c r="X3" s="2"/>
    </row>
    <row r="4" spans="1:47" ht="15" customHeight="1" x14ac:dyDescent="0.15">
      <c r="B4" s="566" t="s">
        <v>818</v>
      </c>
      <c r="C4" s="566"/>
      <c r="D4" s="566"/>
      <c r="E4" s="566"/>
      <c r="F4" s="566"/>
      <c r="G4" s="566"/>
      <c r="H4" s="566"/>
      <c r="I4" s="566"/>
      <c r="J4" s="566"/>
      <c r="K4" s="566"/>
      <c r="L4" s="566"/>
      <c r="M4" s="566"/>
      <c r="N4" s="566"/>
      <c r="O4" s="566"/>
      <c r="P4" s="2"/>
      <c r="Q4" s="2"/>
      <c r="R4" s="2"/>
      <c r="S4" s="2"/>
      <c r="T4" s="2"/>
      <c r="U4" s="2"/>
      <c r="V4" s="2"/>
      <c r="W4" s="2"/>
      <c r="X4" s="2"/>
    </row>
    <row r="5" spans="1:47" x14ac:dyDescent="0.15">
      <c r="B5" s="566"/>
      <c r="C5" s="566"/>
      <c r="D5" s="566"/>
      <c r="E5" s="566"/>
      <c r="F5" s="566"/>
      <c r="G5" s="566"/>
      <c r="H5" s="566"/>
      <c r="I5" s="566"/>
      <c r="J5" s="566"/>
      <c r="K5" s="566"/>
      <c r="L5" s="566"/>
      <c r="M5" s="566"/>
      <c r="N5" s="566"/>
      <c r="O5" s="566"/>
      <c r="P5" s="2"/>
      <c r="Q5" s="2"/>
      <c r="R5" s="2"/>
      <c r="S5" s="2"/>
      <c r="T5" s="2"/>
      <c r="U5" s="2"/>
      <c r="V5" s="2"/>
      <c r="W5" s="2"/>
      <c r="X5" s="2"/>
    </row>
    <row r="6" spans="1:47" x14ac:dyDescent="0.15">
      <c r="B6" s="566"/>
      <c r="C6" s="566"/>
      <c r="D6" s="566"/>
      <c r="E6" s="566"/>
      <c r="F6" s="566"/>
      <c r="G6" s="566"/>
      <c r="H6" s="566"/>
      <c r="I6" s="566"/>
      <c r="J6" s="566"/>
      <c r="K6" s="566"/>
      <c r="L6" s="566"/>
      <c r="M6" s="566"/>
      <c r="N6" s="566"/>
      <c r="O6" s="566"/>
      <c r="P6" s="2"/>
      <c r="Q6" s="2"/>
      <c r="R6" s="2"/>
      <c r="S6" s="2"/>
      <c r="T6" s="2"/>
      <c r="U6" s="2"/>
      <c r="V6" s="2"/>
      <c r="W6" s="2"/>
      <c r="X6" s="2"/>
    </row>
    <row r="7" spans="1:47" x14ac:dyDescent="0.15">
      <c r="B7" s="566"/>
      <c r="C7" s="566"/>
      <c r="D7" s="566"/>
      <c r="E7" s="566"/>
      <c r="F7" s="566"/>
      <c r="G7" s="566"/>
      <c r="H7" s="566"/>
      <c r="I7" s="566"/>
      <c r="J7" s="566"/>
      <c r="K7" s="566"/>
      <c r="L7" s="566"/>
      <c r="M7" s="566"/>
      <c r="N7" s="566"/>
      <c r="O7" s="566"/>
      <c r="P7" s="2"/>
      <c r="Q7" s="2"/>
      <c r="R7" s="2"/>
      <c r="S7" s="2"/>
      <c r="T7" s="2"/>
      <c r="U7" s="2"/>
      <c r="V7" s="2"/>
      <c r="W7" s="2"/>
      <c r="X7" s="2"/>
    </row>
    <row r="8" spans="1:47" x14ac:dyDescent="0.15">
      <c r="B8" s="566"/>
      <c r="C8" s="566"/>
      <c r="D8" s="566"/>
      <c r="E8" s="566"/>
      <c r="F8" s="566"/>
      <c r="G8" s="566"/>
      <c r="H8" s="566"/>
      <c r="I8" s="566"/>
      <c r="J8" s="566"/>
      <c r="K8" s="566"/>
      <c r="L8" s="566"/>
      <c r="M8" s="566"/>
      <c r="N8" s="566"/>
      <c r="O8" s="566"/>
      <c r="P8" s="2"/>
      <c r="Q8" s="2"/>
      <c r="R8" s="2"/>
      <c r="S8" s="2"/>
      <c r="T8" s="2"/>
      <c r="U8" s="2"/>
      <c r="V8" s="2"/>
      <c r="W8" s="2"/>
      <c r="X8" s="2"/>
    </row>
    <row r="9" spans="1:47" ht="28" customHeight="1" x14ac:dyDescent="0.15">
      <c r="B9" s="566"/>
      <c r="C9" s="566"/>
      <c r="D9" s="566"/>
      <c r="E9" s="566"/>
      <c r="F9" s="566"/>
      <c r="G9" s="566"/>
      <c r="H9" s="566"/>
      <c r="I9" s="566"/>
      <c r="J9" s="566"/>
      <c r="K9" s="566"/>
      <c r="L9" s="566"/>
      <c r="M9" s="566"/>
      <c r="N9" s="566"/>
      <c r="O9" s="566"/>
      <c r="P9" s="2"/>
      <c r="Q9" s="2"/>
      <c r="R9" s="2"/>
      <c r="S9" s="2"/>
      <c r="T9" s="2"/>
      <c r="U9" s="2"/>
      <c r="V9" s="2"/>
      <c r="W9" s="2"/>
      <c r="X9" s="2"/>
    </row>
    <row r="10" spans="1:47" x14ac:dyDescent="0.15">
      <c r="B10" s="123"/>
      <c r="C10" s="123"/>
      <c r="D10" s="123"/>
      <c r="E10" s="123"/>
      <c r="F10" s="123"/>
      <c r="G10" s="123"/>
      <c r="H10" s="123"/>
      <c r="I10" s="123"/>
      <c r="J10" s="123"/>
      <c r="K10" s="123"/>
      <c r="L10" s="123"/>
      <c r="M10" s="123"/>
      <c r="N10" s="123"/>
      <c r="O10" s="123"/>
      <c r="P10" s="2"/>
      <c r="Q10" s="2"/>
      <c r="R10" s="2"/>
      <c r="S10" s="2"/>
      <c r="T10" s="2"/>
      <c r="U10" s="2"/>
      <c r="V10" s="2"/>
      <c r="W10" s="2"/>
      <c r="X10" s="2"/>
    </row>
    <row r="11" spans="1:47" s="21" customFormat="1" ht="15" customHeight="1" x14ac:dyDescent="0.15">
      <c r="A11" s="121"/>
      <c r="B11" s="410" t="s">
        <v>799</v>
      </c>
      <c r="C11" s="195"/>
      <c r="D11" s="121"/>
      <c r="E11" s="121"/>
      <c r="F11" s="121"/>
      <c r="G11" s="121"/>
      <c r="H11" s="121"/>
      <c r="I11" s="121"/>
      <c r="J11" s="195"/>
      <c r="K11" s="195"/>
      <c r="L11" s="195"/>
      <c r="M11" s="195"/>
      <c r="N11" s="195"/>
      <c r="O11" s="195"/>
      <c r="P11" s="195"/>
      <c r="Q11" s="195"/>
      <c r="R11" s="195"/>
      <c r="S11" s="195"/>
      <c r="T11" s="195"/>
      <c r="U11" s="195"/>
      <c r="V11" s="195"/>
      <c r="W11" s="195"/>
      <c r="X11" s="195"/>
      <c r="Y11" s="277"/>
      <c r="Z11" s="277"/>
      <c r="AA11" s="121"/>
      <c r="AB11" s="121"/>
      <c r="AC11" s="121"/>
      <c r="AD11" s="121"/>
      <c r="AE11" s="121"/>
      <c r="AF11" s="121"/>
      <c r="AG11" s="121"/>
      <c r="AH11" s="121"/>
      <c r="AI11" s="121"/>
      <c r="AJ11" s="121"/>
      <c r="AK11" s="121"/>
      <c r="AL11" s="121"/>
      <c r="AM11" s="121"/>
      <c r="AN11" s="121"/>
      <c r="AO11" s="121"/>
      <c r="AP11" s="121"/>
      <c r="AQ11" s="121"/>
      <c r="AR11" s="121"/>
      <c r="AS11" s="121"/>
      <c r="AT11" s="121"/>
      <c r="AU11" s="121"/>
    </row>
    <row r="12" spans="1:47" s="21" customFormat="1" ht="16" x14ac:dyDescent="0.15">
      <c r="A12" s="121"/>
      <c r="B12" s="409" t="s">
        <v>850</v>
      </c>
      <c r="C12" s="195"/>
      <c r="D12" s="121"/>
      <c r="E12" s="121"/>
      <c r="F12" s="121"/>
      <c r="G12" s="121"/>
      <c r="H12" s="121"/>
      <c r="I12" s="121"/>
      <c r="J12" s="195"/>
      <c r="K12" s="195"/>
      <c r="L12" s="195"/>
      <c r="M12" s="195"/>
      <c r="N12" s="195"/>
      <c r="O12" s="195"/>
      <c r="P12" s="195"/>
      <c r="Q12" s="195"/>
      <c r="R12" s="195"/>
      <c r="S12" s="195"/>
      <c r="T12" s="195"/>
      <c r="U12" s="195"/>
      <c r="V12" s="195"/>
      <c r="W12" s="195"/>
      <c r="X12" s="195"/>
      <c r="Y12" s="277"/>
      <c r="Z12" s="277"/>
      <c r="AA12" s="121"/>
      <c r="AB12" s="121"/>
      <c r="AC12" s="121"/>
      <c r="AD12" s="121"/>
      <c r="AE12" s="121"/>
      <c r="AF12" s="121"/>
      <c r="AG12" s="121"/>
      <c r="AH12" s="121"/>
      <c r="AI12" s="121"/>
      <c r="AJ12" s="121"/>
      <c r="AK12" s="121"/>
      <c r="AL12" s="121"/>
      <c r="AM12" s="121"/>
      <c r="AN12" s="121"/>
      <c r="AO12" s="121"/>
      <c r="AP12" s="121"/>
      <c r="AQ12" s="121"/>
      <c r="AR12" s="121"/>
      <c r="AS12" s="121"/>
      <c r="AT12" s="121"/>
      <c r="AU12" s="121"/>
    </row>
    <row r="13" spans="1:47" s="21" customFormat="1" ht="15" customHeight="1" x14ac:dyDescent="0.15">
      <c r="A13" s="121"/>
      <c r="B13" s="195" t="s">
        <v>706</v>
      </c>
      <c r="C13" s="195"/>
      <c r="D13" s="195"/>
      <c r="E13" s="195"/>
      <c r="F13" s="195"/>
      <c r="G13" s="355"/>
      <c r="H13" s="121"/>
      <c r="I13" s="121"/>
      <c r="J13" s="195"/>
      <c r="K13" s="195"/>
      <c r="L13" s="195"/>
      <c r="M13" s="195"/>
      <c r="N13" s="195"/>
      <c r="O13" s="195"/>
      <c r="P13" s="195"/>
      <c r="Q13" s="195"/>
      <c r="R13" s="195"/>
      <c r="S13" s="195"/>
      <c r="T13" s="195"/>
      <c r="U13" s="195"/>
      <c r="V13" s="195"/>
      <c r="W13" s="195"/>
      <c r="X13" s="195"/>
      <c r="Y13" s="277"/>
      <c r="Z13" s="277"/>
      <c r="AA13" s="121"/>
      <c r="AB13" s="121"/>
      <c r="AC13" s="121"/>
      <c r="AD13" s="121"/>
      <c r="AE13" s="121"/>
      <c r="AF13" s="121"/>
      <c r="AG13" s="121"/>
      <c r="AH13" s="121"/>
      <c r="AI13" s="121"/>
      <c r="AJ13" s="121"/>
      <c r="AK13" s="121"/>
      <c r="AL13" s="121"/>
      <c r="AM13" s="121"/>
      <c r="AN13" s="121"/>
      <c r="AO13" s="121"/>
      <c r="AP13" s="121"/>
      <c r="AQ13" s="121"/>
      <c r="AR13" s="121"/>
      <c r="AS13" s="121"/>
      <c r="AT13" s="121"/>
      <c r="AU13" s="121"/>
    </row>
    <row r="14" spans="1:47" s="21" customFormat="1" ht="15" customHeight="1" x14ac:dyDescent="0.15">
      <c r="A14" s="121"/>
      <c r="B14" s="195" t="s">
        <v>705</v>
      </c>
      <c r="C14" s="195"/>
      <c r="D14" s="195"/>
      <c r="E14" s="195"/>
      <c r="F14" s="195"/>
      <c r="G14" s="355"/>
      <c r="H14" s="121"/>
      <c r="I14" s="121"/>
      <c r="J14" s="195"/>
      <c r="K14" s="195"/>
      <c r="L14" s="195"/>
      <c r="M14" s="195"/>
      <c r="N14" s="195"/>
      <c r="O14" s="195"/>
      <c r="P14" s="195"/>
      <c r="Q14" s="195"/>
      <c r="R14" s="195"/>
      <c r="S14" s="195"/>
      <c r="T14" s="195"/>
      <c r="U14" s="195"/>
      <c r="V14" s="195"/>
      <c r="W14" s="195"/>
      <c r="X14" s="195"/>
      <c r="Y14" s="277"/>
      <c r="Z14" s="277"/>
      <c r="AA14" s="121"/>
      <c r="AB14" s="121"/>
      <c r="AC14" s="121"/>
      <c r="AD14" s="121"/>
      <c r="AE14" s="121"/>
      <c r="AF14" s="121"/>
      <c r="AG14" s="121"/>
      <c r="AH14" s="121"/>
      <c r="AI14" s="121"/>
      <c r="AJ14" s="121"/>
      <c r="AK14" s="121"/>
      <c r="AL14" s="121"/>
      <c r="AM14" s="121"/>
      <c r="AN14" s="121"/>
      <c r="AO14" s="121"/>
      <c r="AP14" s="121"/>
      <c r="AQ14" s="121"/>
      <c r="AR14" s="121"/>
      <c r="AS14" s="121"/>
      <c r="AT14" s="121"/>
      <c r="AU14" s="121"/>
    </row>
    <row r="15" spans="1:47" s="21" customFormat="1" ht="15" customHeight="1" x14ac:dyDescent="0.15">
      <c r="A15" s="121"/>
      <c r="B15" s="195" t="s">
        <v>704</v>
      </c>
      <c r="C15" s="195"/>
      <c r="D15" s="195"/>
      <c r="E15" s="195"/>
      <c r="F15" s="195"/>
      <c r="G15" s="355"/>
      <c r="H15" s="121"/>
      <c r="I15" s="121"/>
      <c r="J15" s="195"/>
      <c r="K15" s="195"/>
      <c r="L15" s="195"/>
      <c r="M15" s="195"/>
      <c r="N15" s="195"/>
      <c r="O15" s="195"/>
      <c r="P15" s="195"/>
      <c r="Q15" s="195"/>
      <c r="R15" s="195"/>
      <c r="S15" s="195"/>
      <c r="T15" s="195"/>
      <c r="U15" s="195"/>
      <c r="V15" s="195"/>
      <c r="W15" s="195"/>
      <c r="X15" s="195"/>
      <c r="Y15" s="277"/>
      <c r="Z15" s="277"/>
      <c r="AA15" s="121"/>
      <c r="AB15" s="121"/>
      <c r="AC15" s="121"/>
      <c r="AD15" s="121"/>
      <c r="AE15" s="121"/>
      <c r="AF15" s="121"/>
      <c r="AG15" s="121"/>
      <c r="AH15" s="121"/>
      <c r="AI15" s="121"/>
      <c r="AJ15" s="121"/>
      <c r="AK15" s="121"/>
      <c r="AL15" s="121"/>
      <c r="AM15" s="121"/>
      <c r="AN15" s="121"/>
      <c r="AO15" s="121"/>
      <c r="AP15" s="121"/>
      <c r="AQ15" s="121"/>
      <c r="AR15" s="121"/>
      <c r="AS15" s="121"/>
      <c r="AT15" s="121"/>
      <c r="AU15" s="121"/>
    </row>
    <row r="16" spans="1:47" s="21" customFormat="1" ht="15" customHeight="1" x14ac:dyDescent="0.15">
      <c r="A16" s="121"/>
      <c r="B16" s="195" t="s">
        <v>707</v>
      </c>
      <c r="C16" s="195"/>
      <c r="D16" s="195"/>
      <c r="E16" s="195"/>
      <c r="F16" s="195"/>
      <c r="G16" s="448" t="str">
        <f>IF(G14&gt;0,G15*(G13/G14),"Enter data above")</f>
        <v>Enter data above</v>
      </c>
      <c r="H16" s="195"/>
      <c r="I16" s="356"/>
      <c r="J16" s="195"/>
      <c r="K16" s="195"/>
      <c r="L16" s="195"/>
      <c r="M16" s="195"/>
      <c r="N16" s="195"/>
      <c r="O16" s="195"/>
      <c r="P16" s="195"/>
      <c r="Q16" s="195"/>
      <c r="R16" s="195"/>
      <c r="S16" s="195"/>
      <c r="T16" s="195"/>
      <c r="U16" s="195"/>
      <c r="V16" s="195"/>
      <c r="W16" s="195"/>
      <c r="X16" s="195"/>
      <c r="Y16" s="277"/>
      <c r="Z16" s="277"/>
      <c r="AA16" s="121"/>
      <c r="AB16" s="121"/>
      <c r="AC16" s="121"/>
      <c r="AD16" s="121"/>
      <c r="AE16" s="121"/>
      <c r="AF16" s="121"/>
      <c r="AG16" s="121"/>
      <c r="AH16" s="121"/>
      <c r="AI16" s="121"/>
      <c r="AJ16" s="121"/>
      <c r="AK16" s="121"/>
      <c r="AL16" s="121"/>
      <c r="AM16" s="121"/>
      <c r="AN16" s="121"/>
      <c r="AO16" s="121"/>
      <c r="AP16" s="121"/>
      <c r="AQ16" s="121"/>
      <c r="AR16" s="121"/>
      <c r="AS16" s="121"/>
      <c r="AT16" s="121"/>
      <c r="AU16" s="121"/>
    </row>
    <row r="17" spans="1:47" s="21" customFormat="1" ht="15" customHeight="1" x14ac:dyDescent="0.15">
      <c r="A17" s="121"/>
      <c r="B17" s="140"/>
      <c r="C17" s="195"/>
      <c r="D17" s="197"/>
      <c r="E17" s="197"/>
      <c r="F17" s="197"/>
      <c r="G17" s="197"/>
      <c r="H17" s="197"/>
      <c r="I17" s="197"/>
      <c r="J17" s="195"/>
      <c r="K17" s="195"/>
      <c r="L17" s="195"/>
      <c r="M17" s="195"/>
      <c r="N17" s="195"/>
      <c r="O17" s="195"/>
      <c r="P17" s="195"/>
      <c r="Q17" s="195"/>
      <c r="R17" s="195"/>
      <c r="S17" s="195"/>
      <c r="T17" s="195"/>
      <c r="U17" s="195"/>
      <c r="V17" s="195"/>
      <c r="W17" s="195"/>
      <c r="X17" s="195"/>
      <c r="Y17" s="277"/>
      <c r="Z17" s="277"/>
      <c r="AA17" s="121"/>
      <c r="AB17" s="121"/>
      <c r="AC17" s="121"/>
      <c r="AD17" s="121"/>
      <c r="AE17" s="121"/>
      <c r="AF17" s="121"/>
      <c r="AG17" s="121"/>
      <c r="AH17" s="121"/>
      <c r="AI17" s="121"/>
      <c r="AJ17" s="121"/>
      <c r="AK17" s="121"/>
      <c r="AL17" s="121"/>
      <c r="AM17" s="121"/>
      <c r="AN17" s="121"/>
      <c r="AO17" s="121"/>
      <c r="AP17" s="121"/>
      <c r="AQ17" s="121"/>
      <c r="AR17" s="121"/>
      <c r="AS17" s="121"/>
      <c r="AT17" s="121"/>
      <c r="AU17" s="121"/>
    </row>
    <row r="18" spans="1:47" x14ac:dyDescent="0.15">
      <c r="O18" s="2"/>
      <c r="P18" s="2"/>
      <c r="Q18" s="2"/>
      <c r="R18" s="2"/>
      <c r="S18" s="2"/>
      <c r="T18" s="2"/>
      <c r="U18" s="2"/>
      <c r="V18" s="2"/>
      <c r="W18" s="2"/>
      <c r="X18" s="2"/>
    </row>
    <row r="19" spans="1:47" ht="18" x14ac:dyDescent="0.2">
      <c r="B19" s="569" t="s">
        <v>740</v>
      </c>
      <c r="C19" s="569"/>
      <c r="D19" s="569"/>
      <c r="E19" s="569"/>
      <c r="F19" s="569"/>
      <c r="G19" s="569"/>
      <c r="H19" s="569"/>
      <c r="I19" s="569"/>
      <c r="J19" s="569"/>
      <c r="K19" s="569"/>
      <c r="L19" s="569"/>
      <c r="M19" s="569"/>
      <c r="N19" s="569"/>
      <c r="O19" s="2"/>
      <c r="P19" s="121"/>
      <c r="Q19" s="121"/>
      <c r="R19" s="2"/>
      <c r="S19" s="2"/>
      <c r="T19" s="2"/>
      <c r="U19" s="2"/>
      <c r="V19" s="2"/>
      <c r="W19" s="2"/>
      <c r="X19" s="2"/>
    </row>
    <row r="20" spans="1:47" s="21" customFormat="1" ht="21" customHeight="1" x14ac:dyDescent="0.15">
      <c r="A20" s="121"/>
      <c r="B20" s="158" t="s">
        <v>819</v>
      </c>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565" t="s">
        <v>448</v>
      </c>
      <c r="AB20" s="565"/>
      <c r="AC20" s="565"/>
      <c r="AD20" s="565"/>
      <c r="AE20" s="565"/>
      <c r="AF20" s="565"/>
      <c r="AG20" s="565"/>
      <c r="AH20" s="565"/>
      <c r="AI20" s="121"/>
      <c r="AJ20" s="121"/>
      <c r="AK20" s="121"/>
      <c r="AL20" s="121"/>
      <c r="AM20" s="121"/>
      <c r="AN20" s="121"/>
      <c r="AO20" s="121"/>
      <c r="AP20" s="121"/>
      <c r="AQ20" s="121"/>
      <c r="AR20" s="121"/>
      <c r="AS20" s="121"/>
      <c r="AT20" s="121"/>
      <c r="AU20" s="121"/>
    </row>
    <row r="21" spans="1:47" s="21" customFormat="1" ht="36" customHeight="1" x14ac:dyDescent="0.2">
      <c r="A21" s="121"/>
      <c r="B21" s="141" t="s">
        <v>363</v>
      </c>
      <c r="C21" s="257" t="s">
        <v>0</v>
      </c>
      <c r="D21" s="257" t="s">
        <v>1</v>
      </c>
      <c r="E21" s="257" t="s">
        <v>2</v>
      </c>
      <c r="F21" s="257" t="s">
        <v>3</v>
      </c>
      <c r="G21" s="257" t="s">
        <v>4</v>
      </c>
      <c r="H21" s="257" t="s">
        <v>5</v>
      </c>
      <c r="I21" s="257" t="s">
        <v>6</v>
      </c>
      <c r="J21" s="257" t="s">
        <v>7</v>
      </c>
      <c r="K21" s="257" t="s">
        <v>8</v>
      </c>
      <c r="L21" s="257" t="s">
        <v>9</v>
      </c>
      <c r="M21" s="257" t="s">
        <v>10</v>
      </c>
      <c r="N21" s="257" t="s">
        <v>11</v>
      </c>
      <c r="O21" s="257" t="s">
        <v>12</v>
      </c>
      <c r="P21" s="128" t="s">
        <v>513</v>
      </c>
      <c r="Q21" s="128" t="s">
        <v>514</v>
      </c>
      <c r="R21" s="128" t="s">
        <v>515</v>
      </c>
      <c r="S21" s="128" t="s">
        <v>536</v>
      </c>
      <c r="T21" s="128" t="s">
        <v>540</v>
      </c>
      <c r="U21" s="128" t="s">
        <v>566</v>
      </c>
      <c r="V21" s="128" t="s">
        <v>533</v>
      </c>
      <c r="W21" s="128" t="s">
        <v>535</v>
      </c>
      <c r="X21" s="128" t="s">
        <v>542</v>
      </c>
      <c r="Y21" s="128" t="s">
        <v>548</v>
      </c>
      <c r="Z21" s="128"/>
      <c r="AA21" s="565"/>
      <c r="AB21" s="565"/>
      <c r="AC21" s="565"/>
      <c r="AD21" s="565"/>
      <c r="AE21" s="565"/>
      <c r="AF21" s="565"/>
      <c r="AG21" s="565"/>
      <c r="AH21" s="565"/>
      <c r="AI21" s="121"/>
      <c r="AJ21" s="121"/>
      <c r="AK21" s="121"/>
      <c r="AL21" s="121"/>
      <c r="AM21" s="121"/>
      <c r="AN21" s="121"/>
      <c r="AO21" s="121"/>
      <c r="AP21" s="121"/>
      <c r="AQ21" s="121"/>
      <c r="AR21" s="121"/>
      <c r="AS21" s="121"/>
      <c r="AT21" s="121"/>
      <c r="AU21" s="121"/>
    </row>
    <row r="22" spans="1:47" s="21" customFormat="1" ht="13" x14ac:dyDescent="0.15">
      <c r="A22" s="121"/>
      <c r="B22" s="140" t="s">
        <v>355</v>
      </c>
      <c r="C22" s="391"/>
      <c r="D22" s="391"/>
      <c r="E22" s="391"/>
      <c r="F22" s="391"/>
      <c r="G22" s="391"/>
      <c r="H22" s="391"/>
      <c r="I22" s="391"/>
      <c r="J22" s="391"/>
      <c r="K22" s="391"/>
      <c r="L22" s="391"/>
      <c r="M22" s="391"/>
      <c r="N22" s="391"/>
      <c r="O22" s="167">
        <f>SUM(C22:N22)</f>
        <v>0</v>
      </c>
      <c r="P22" s="133">
        <f>VLOOKUP(B22,'Emissions Factors'!$B$186:$G$195,4,FALSE)</f>
        <v>0.34300000000000003</v>
      </c>
      <c r="Q22" s="133">
        <f>VLOOKUP(B22,'Emissions Factors'!$B$186:$G$195,5,FALSE)</f>
        <v>1.9E-2</v>
      </c>
      <c r="R22" s="133">
        <f>VLOOKUP(B22,'Emissions Factors'!$B$186:$G$195,6,FALSE)</f>
        <v>1.0999999999999999E-2</v>
      </c>
      <c r="S22" s="136">
        <f>O22*P22/1000</f>
        <v>0</v>
      </c>
      <c r="T22" s="136">
        <f>O22*Q22/1000000</f>
        <v>0</v>
      </c>
      <c r="U22" s="136">
        <f>O22*R22/1000000</f>
        <v>0</v>
      </c>
      <c r="V22" s="134">
        <f>'Emissions Factors'!$C$75</f>
        <v>28</v>
      </c>
      <c r="W22" s="134">
        <f>'Emissions Factors'!$C$76</f>
        <v>265</v>
      </c>
      <c r="X22" s="136">
        <f>SUM(S22,T22*V22,U22*W22)</f>
        <v>0</v>
      </c>
      <c r="Y22" s="418">
        <f>X22</f>
        <v>0</v>
      </c>
      <c r="Z22" s="279"/>
      <c r="AA22" s="141" t="s">
        <v>203</v>
      </c>
      <c r="AB22" s="121"/>
      <c r="AC22" s="121"/>
      <c r="AD22" s="121"/>
      <c r="AE22" s="121"/>
      <c r="AF22" s="121"/>
      <c r="AG22" s="121"/>
      <c r="AH22" s="121"/>
      <c r="AI22" s="121"/>
      <c r="AJ22" s="121"/>
      <c r="AK22" s="121"/>
      <c r="AL22" s="121"/>
      <c r="AM22" s="121"/>
      <c r="AN22" s="121"/>
      <c r="AO22" s="121"/>
      <c r="AP22" s="121"/>
      <c r="AQ22" s="121"/>
      <c r="AR22" s="121"/>
      <c r="AS22" s="121"/>
      <c r="AT22" s="121"/>
      <c r="AU22" s="121"/>
    </row>
    <row r="23" spans="1:47" s="21" customFormat="1" ht="13" x14ac:dyDescent="0.15">
      <c r="A23" s="121"/>
      <c r="B23" s="140" t="s">
        <v>356</v>
      </c>
      <c r="C23" s="391"/>
      <c r="D23" s="391"/>
      <c r="E23" s="391"/>
      <c r="F23" s="391"/>
      <c r="G23" s="391"/>
      <c r="H23" s="391"/>
      <c r="I23" s="391"/>
      <c r="J23" s="391"/>
      <c r="K23" s="391"/>
      <c r="L23" s="391"/>
      <c r="M23" s="391"/>
      <c r="N23" s="391"/>
      <c r="O23" s="167">
        <f t="shared" ref="O23:O31" si="0">SUM(C23:N23)</f>
        <v>0</v>
      </c>
      <c r="P23" s="133">
        <f>VLOOKUP(B23,'Emissions Factors'!$B$186:$G$195,4,FALSE)</f>
        <v>0.47199999999999998</v>
      </c>
      <c r="Q23" s="133">
        <f>VLOOKUP(B23,'Emissions Factors'!$B$186:$G$195,5,FALSE)</f>
        <v>1.9E-2</v>
      </c>
      <c r="R23" s="133">
        <f>VLOOKUP(B23,'Emissions Factors'!$B$186:$G$195,6,FALSE)</f>
        <v>1.7999999999999999E-2</v>
      </c>
      <c r="S23" s="136">
        <f t="shared" ref="S23:S31" si="1">O23*P23/1000</f>
        <v>0</v>
      </c>
      <c r="T23" s="136">
        <f t="shared" ref="T23:T31" si="2">O23*Q23/1000000</f>
        <v>0</v>
      </c>
      <c r="U23" s="136">
        <f t="shared" ref="U23:U31" si="3">O23*R23/1000000</f>
        <v>0</v>
      </c>
      <c r="V23" s="134">
        <f>'Emissions Factors'!$C$75</f>
        <v>28</v>
      </c>
      <c r="W23" s="134">
        <f>'Emissions Factors'!$C$76</f>
        <v>265</v>
      </c>
      <c r="X23" s="136">
        <f t="shared" ref="X23:X31" si="4">SUM(S23,T23*V23,U23*W23)</f>
        <v>0</v>
      </c>
      <c r="Y23" s="418">
        <f t="shared" ref="Y23:Y31" si="5">X23</f>
        <v>0</v>
      </c>
      <c r="Z23" s="279"/>
      <c r="AA23" s="278" t="s">
        <v>202</v>
      </c>
      <c r="AB23" s="121"/>
      <c r="AC23" s="121"/>
      <c r="AD23" s="121"/>
      <c r="AE23" s="121"/>
      <c r="AF23" s="121"/>
      <c r="AG23" s="121"/>
      <c r="AH23" s="121"/>
      <c r="AI23" s="121"/>
      <c r="AJ23" s="121"/>
      <c r="AK23" s="121"/>
      <c r="AL23" s="121"/>
      <c r="AM23" s="121"/>
      <c r="AN23" s="121"/>
      <c r="AO23" s="121"/>
      <c r="AP23" s="121"/>
      <c r="AQ23" s="121"/>
      <c r="AR23" s="121"/>
      <c r="AS23" s="121"/>
      <c r="AT23" s="121"/>
      <c r="AU23" s="121"/>
    </row>
    <row r="24" spans="1:47" s="21" customFormat="1" ht="13" x14ac:dyDescent="0.15">
      <c r="A24" s="121"/>
      <c r="B24" s="140" t="s">
        <v>127</v>
      </c>
      <c r="C24" s="391"/>
      <c r="D24" s="391"/>
      <c r="E24" s="391"/>
      <c r="F24" s="391"/>
      <c r="G24" s="391"/>
      <c r="H24" s="391"/>
      <c r="I24" s="391"/>
      <c r="J24" s="391"/>
      <c r="K24" s="391"/>
      <c r="L24" s="391"/>
      <c r="M24" s="391"/>
      <c r="N24" s="391"/>
      <c r="O24" s="167">
        <f t="shared" si="0"/>
        <v>0</v>
      </c>
      <c r="P24" s="133">
        <f>VLOOKUP(B24,'Emissions Factors'!$B$186:$G$195,4,FALSE)</f>
        <v>0.189</v>
      </c>
      <c r="Q24" s="133">
        <f>VLOOKUP(B24,'Emissions Factors'!$B$186:$G$195,5,FALSE)</f>
        <v>7.0000000000000007E-2</v>
      </c>
      <c r="R24" s="133">
        <f>VLOOKUP(B24,'Emissions Factors'!$B$186:$G$195,6,FALSE)</f>
        <v>7.0000000000000001E-3</v>
      </c>
      <c r="S24" s="136">
        <f t="shared" si="1"/>
        <v>0</v>
      </c>
      <c r="T24" s="136">
        <f t="shared" si="2"/>
        <v>0</v>
      </c>
      <c r="U24" s="136">
        <f t="shared" si="3"/>
        <v>0</v>
      </c>
      <c r="V24" s="134">
        <f>'Emissions Factors'!$C$75</f>
        <v>28</v>
      </c>
      <c r="W24" s="134">
        <f>'Emissions Factors'!$C$76</f>
        <v>265</v>
      </c>
      <c r="X24" s="136">
        <f t="shared" si="4"/>
        <v>0</v>
      </c>
      <c r="Y24" s="418">
        <f t="shared" si="5"/>
        <v>0</v>
      </c>
      <c r="Z24" s="279"/>
      <c r="AA24" s="121"/>
      <c r="AB24" s="121"/>
      <c r="AC24" s="121"/>
      <c r="AD24" s="121"/>
      <c r="AE24" s="121"/>
      <c r="AF24" s="121"/>
      <c r="AG24" s="121"/>
      <c r="AH24" s="121"/>
      <c r="AI24" s="121"/>
      <c r="AJ24" s="121"/>
      <c r="AK24" s="121"/>
      <c r="AL24" s="121"/>
      <c r="AM24" s="121"/>
      <c r="AN24" s="121"/>
      <c r="AO24" s="121"/>
      <c r="AP24" s="121"/>
      <c r="AQ24" s="121"/>
      <c r="AR24" s="121"/>
      <c r="AS24" s="121"/>
      <c r="AT24" s="121"/>
      <c r="AU24" s="121"/>
    </row>
    <row r="25" spans="1:47" s="21" customFormat="1" ht="13" x14ac:dyDescent="0.15">
      <c r="A25" s="121"/>
      <c r="B25" s="140" t="s">
        <v>357</v>
      </c>
      <c r="C25" s="391"/>
      <c r="D25" s="391"/>
      <c r="E25" s="391"/>
      <c r="F25" s="391"/>
      <c r="G25" s="391"/>
      <c r="H25" s="391"/>
      <c r="I25" s="391"/>
      <c r="J25" s="391"/>
      <c r="K25" s="391"/>
      <c r="L25" s="391"/>
      <c r="M25" s="391"/>
      <c r="N25" s="391"/>
      <c r="O25" s="167">
        <f t="shared" si="0"/>
        <v>0</v>
      </c>
      <c r="P25" s="133">
        <f>VLOOKUP(B25,'Emissions Factors'!$B$186:$G$195,4,FALSE)</f>
        <v>0.14000000000000001</v>
      </c>
      <c r="Q25" s="133">
        <f>VLOOKUP(B25,'Emissions Factors'!$B$186:$G$195,5,FALSE)</f>
        <v>8.6999999999999994E-3</v>
      </c>
      <c r="R25" s="133">
        <f>VLOOKUP(B25,'Emissions Factors'!$B$186:$G$195,6,FALSE)</f>
        <v>3.0999999999999999E-3</v>
      </c>
      <c r="S25" s="136">
        <f t="shared" si="1"/>
        <v>0</v>
      </c>
      <c r="T25" s="136">
        <f t="shared" si="2"/>
        <v>0</v>
      </c>
      <c r="U25" s="136">
        <f t="shared" si="3"/>
        <v>0</v>
      </c>
      <c r="V25" s="134">
        <f>'Emissions Factors'!$C$75</f>
        <v>28</v>
      </c>
      <c r="W25" s="134">
        <f>'Emissions Factors'!$C$76</f>
        <v>265</v>
      </c>
      <c r="X25" s="136">
        <f t="shared" si="4"/>
        <v>0</v>
      </c>
      <c r="Y25" s="418">
        <f t="shared" si="5"/>
        <v>0</v>
      </c>
      <c r="Z25" s="279"/>
      <c r="AA25" s="121"/>
      <c r="AB25" s="121"/>
      <c r="AC25" s="121"/>
      <c r="AD25" s="121"/>
      <c r="AE25" s="121"/>
      <c r="AF25" s="121"/>
      <c r="AG25" s="121"/>
      <c r="AH25" s="121"/>
      <c r="AI25" s="121"/>
      <c r="AJ25" s="121"/>
      <c r="AK25" s="121"/>
      <c r="AL25" s="121"/>
      <c r="AM25" s="121"/>
      <c r="AN25" s="121"/>
      <c r="AO25" s="121"/>
      <c r="AP25" s="121"/>
      <c r="AQ25" s="121"/>
      <c r="AR25" s="121"/>
      <c r="AS25" s="121"/>
      <c r="AT25" s="121"/>
      <c r="AU25" s="121"/>
    </row>
    <row r="26" spans="1:47" s="21" customFormat="1" ht="13" x14ac:dyDescent="0.15">
      <c r="A26" s="121"/>
      <c r="B26" s="140" t="s">
        <v>358</v>
      </c>
      <c r="C26" s="391"/>
      <c r="D26" s="391"/>
      <c r="E26" s="391"/>
      <c r="F26" s="391"/>
      <c r="G26" s="391"/>
      <c r="H26" s="391"/>
      <c r="I26" s="391"/>
      <c r="J26" s="391"/>
      <c r="K26" s="391"/>
      <c r="L26" s="391"/>
      <c r="M26" s="391"/>
      <c r="N26" s="391"/>
      <c r="O26" s="167">
        <f t="shared" si="0"/>
        <v>0</v>
      </c>
      <c r="P26" s="133">
        <f>VLOOKUP(B26,'Emissions Factors'!$B$186:$G$195,4,FALSE)</f>
        <v>0.161</v>
      </c>
      <c r="Q26" s="133">
        <f>VLOOKUP(B26,'Emissions Factors'!$B$186:$G$195,5,FALSE)</f>
        <v>8.0999999999999996E-3</v>
      </c>
      <c r="R26" s="133">
        <f>VLOOKUP(B26,'Emissions Factors'!$B$186:$G$195,6,FALSE)</f>
        <v>3.2000000000000002E-3</v>
      </c>
      <c r="S26" s="136">
        <f t="shared" si="1"/>
        <v>0</v>
      </c>
      <c r="T26" s="136">
        <f t="shared" si="2"/>
        <v>0</v>
      </c>
      <c r="U26" s="136">
        <f t="shared" si="3"/>
        <v>0</v>
      </c>
      <c r="V26" s="134">
        <f>'Emissions Factors'!$C$75</f>
        <v>28</v>
      </c>
      <c r="W26" s="134">
        <f>'Emissions Factors'!$C$76</f>
        <v>265</v>
      </c>
      <c r="X26" s="136">
        <f t="shared" si="4"/>
        <v>0</v>
      </c>
      <c r="Y26" s="418">
        <f t="shared" si="5"/>
        <v>0</v>
      </c>
      <c r="Z26" s="279"/>
      <c r="AA26" s="121"/>
      <c r="AB26" s="121"/>
      <c r="AC26" s="121"/>
      <c r="AD26" s="121"/>
      <c r="AE26" s="121"/>
      <c r="AF26" s="121"/>
      <c r="AG26" s="121"/>
      <c r="AH26" s="121"/>
      <c r="AI26" s="121"/>
      <c r="AJ26" s="121"/>
      <c r="AK26" s="121"/>
      <c r="AL26" s="121"/>
      <c r="AM26" s="121"/>
      <c r="AN26" s="121"/>
      <c r="AO26" s="121"/>
      <c r="AP26" s="121"/>
      <c r="AQ26" s="121"/>
      <c r="AR26" s="121"/>
      <c r="AS26" s="121"/>
      <c r="AT26" s="121"/>
      <c r="AU26" s="121"/>
    </row>
    <row r="27" spans="1:47" s="21" customFormat="1" ht="13" x14ac:dyDescent="0.15">
      <c r="A27" s="121"/>
      <c r="B27" s="140" t="s">
        <v>359</v>
      </c>
      <c r="C27" s="391"/>
      <c r="D27" s="391"/>
      <c r="E27" s="391"/>
      <c r="F27" s="391"/>
      <c r="G27" s="391"/>
      <c r="H27" s="391"/>
      <c r="I27" s="391"/>
      <c r="J27" s="391"/>
      <c r="K27" s="391"/>
      <c r="L27" s="391"/>
      <c r="M27" s="391"/>
      <c r="N27" s="391"/>
      <c r="O27" s="167">
        <f t="shared" si="0"/>
        <v>0</v>
      </c>
      <c r="P27" s="133">
        <f>VLOOKUP(B27,'Emissions Factors'!$B$186:$G$195,4,FALSE)</f>
        <v>0.11899999999999999</v>
      </c>
      <c r="Q27" s="133">
        <f>VLOOKUP(B27,'Emissions Factors'!$B$186:$G$195,5,FALSE)</f>
        <v>2.5000000000000001E-3</v>
      </c>
      <c r="R27" s="133">
        <f>VLOOKUP(B27,'Emissions Factors'!$B$186:$G$195,6,FALSE)</f>
        <v>1.6999999999999999E-3</v>
      </c>
      <c r="S27" s="136">
        <f t="shared" si="1"/>
        <v>0</v>
      </c>
      <c r="T27" s="136">
        <f t="shared" si="2"/>
        <v>0</v>
      </c>
      <c r="U27" s="136">
        <f t="shared" si="3"/>
        <v>0</v>
      </c>
      <c r="V27" s="134">
        <f>'Emissions Factors'!$C$75</f>
        <v>28</v>
      </c>
      <c r="W27" s="134">
        <f>'Emissions Factors'!$C$76</f>
        <v>265</v>
      </c>
      <c r="X27" s="136">
        <f t="shared" si="4"/>
        <v>0</v>
      </c>
      <c r="Y27" s="418">
        <f t="shared" si="5"/>
        <v>0</v>
      </c>
      <c r="Z27" s="279"/>
      <c r="AA27" s="121"/>
      <c r="AB27" s="121"/>
      <c r="AC27" s="121"/>
      <c r="AD27" s="121"/>
      <c r="AE27" s="121"/>
      <c r="AF27" s="121"/>
      <c r="AG27" s="121"/>
      <c r="AH27" s="121"/>
      <c r="AI27" s="121"/>
      <c r="AJ27" s="121"/>
      <c r="AK27" s="121"/>
      <c r="AL27" s="121"/>
      <c r="AM27" s="121"/>
      <c r="AN27" s="121"/>
      <c r="AO27" s="121"/>
      <c r="AP27" s="121"/>
      <c r="AQ27" s="121"/>
      <c r="AR27" s="121"/>
      <c r="AS27" s="121"/>
      <c r="AT27" s="121"/>
      <c r="AU27" s="121"/>
    </row>
    <row r="28" spans="1:47" s="21" customFormat="1" ht="13" x14ac:dyDescent="0.15">
      <c r="A28" s="121"/>
      <c r="B28" s="140" t="s">
        <v>128</v>
      </c>
      <c r="C28" s="391"/>
      <c r="D28" s="391"/>
      <c r="E28" s="391"/>
      <c r="F28" s="391"/>
      <c r="G28" s="391"/>
      <c r="H28" s="391"/>
      <c r="I28" s="391"/>
      <c r="J28" s="391"/>
      <c r="K28" s="391"/>
      <c r="L28" s="391"/>
      <c r="M28" s="391"/>
      <c r="N28" s="391"/>
      <c r="O28" s="167">
        <f t="shared" si="0"/>
        <v>0</v>
      </c>
      <c r="P28" s="133">
        <f>VLOOKUP(B28,'Emissions Factors'!$B$186:$G$195,4,FALSE)</f>
        <v>5.6000000000000001E-2</v>
      </c>
      <c r="Q28" s="133">
        <f>VLOOKUP(B28,'Emissions Factors'!$B$186:$G$195,5,FALSE)</f>
        <v>1.2999999999999999E-3</v>
      </c>
      <c r="R28" s="133">
        <f>VLOOKUP(B28,'Emissions Factors'!$B$186:$G$195,6,FALSE)</f>
        <v>8.9999999999999998E-4</v>
      </c>
      <c r="S28" s="136">
        <f t="shared" si="1"/>
        <v>0</v>
      </c>
      <c r="T28" s="136">
        <f t="shared" si="2"/>
        <v>0</v>
      </c>
      <c r="U28" s="136">
        <f t="shared" si="3"/>
        <v>0</v>
      </c>
      <c r="V28" s="134">
        <f>'Emissions Factors'!$C$75</f>
        <v>28</v>
      </c>
      <c r="W28" s="134">
        <f>'Emissions Factors'!$C$76</f>
        <v>265</v>
      </c>
      <c r="X28" s="136">
        <f t="shared" si="4"/>
        <v>0</v>
      </c>
      <c r="Y28" s="418">
        <f t="shared" si="5"/>
        <v>0</v>
      </c>
      <c r="Z28" s="279"/>
      <c r="AA28" s="121"/>
      <c r="AB28" s="121"/>
      <c r="AC28" s="121"/>
      <c r="AD28" s="121"/>
      <c r="AE28" s="121"/>
      <c r="AF28" s="121"/>
      <c r="AG28" s="121"/>
      <c r="AH28" s="121"/>
      <c r="AI28" s="121"/>
      <c r="AJ28" s="121"/>
      <c r="AK28" s="121"/>
      <c r="AL28" s="121"/>
      <c r="AM28" s="121"/>
      <c r="AN28" s="121"/>
      <c r="AO28" s="121"/>
      <c r="AP28" s="121"/>
      <c r="AQ28" s="121"/>
      <c r="AR28" s="121"/>
      <c r="AS28" s="121"/>
      <c r="AT28" s="121"/>
      <c r="AU28" s="121"/>
    </row>
    <row r="29" spans="1:47" s="21" customFormat="1" ht="13" x14ac:dyDescent="0.15">
      <c r="A29" s="121"/>
      <c r="B29" s="140" t="s">
        <v>360</v>
      </c>
      <c r="C29" s="391"/>
      <c r="D29" s="391"/>
      <c r="E29" s="391"/>
      <c r="F29" s="391"/>
      <c r="G29" s="391"/>
      <c r="H29" s="391"/>
      <c r="I29" s="391"/>
      <c r="J29" s="391"/>
      <c r="K29" s="391"/>
      <c r="L29" s="391"/>
      <c r="M29" s="391"/>
      <c r="N29" s="391"/>
      <c r="O29" s="167">
        <f t="shared" si="0"/>
        <v>0</v>
      </c>
      <c r="P29" s="133">
        <f>VLOOKUP(B29,'Emissions Factors'!$B$186:$G$195,4,FALSE)</f>
        <v>0.22500000000000001</v>
      </c>
      <c r="Q29" s="133">
        <f>VLOOKUP(B29,'Emissions Factors'!$B$186:$G$195,5,FALSE)</f>
        <v>3.8999999999999998E-3</v>
      </c>
      <c r="R29" s="133">
        <f>VLOOKUP(B29,'Emissions Factors'!$B$186:$G$195,6,FALSE)</f>
        <v>7.1999999999999998E-3</v>
      </c>
      <c r="S29" s="136">
        <f t="shared" si="1"/>
        <v>0</v>
      </c>
      <c r="T29" s="136">
        <f t="shared" si="2"/>
        <v>0</v>
      </c>
      <c r="U29" s="136">
        <f t="shared" si="3"/>
        <v>0</v>
      </c>
      <c r="V29" s="134">
        <f>'Emissions Factors'!$C$75</f>
        <v>28</v>
      </c>
      <c r="W29" s="134">
        <f>'Emissions Factors'!$C$76</f>
        <v>265</v>
      </c>
      <c r="X29" s="136">
        <f t="shared" si="4"/>
        <v>0</v>
      </c>
      <c r="Y29" s="418">
        <f t="shared" si="5"/>
        <v>0</v>
      </c>
      <c r="Z29" s="279"/>
      <c r="AA29" s="121"/>
      <c r="AB29" s="121"/>
      <c r="AC29" s="121"/>
      <c r="AD29" s="121"/>
      <c r="AE29" s="121"/>
      <c r="AF29" s="121"/>
      <c r="AG29" s="121"/>
      <c r="AH29" s="121"/>
      <c r="AI29" s="121"/>
      <c r="AJ29" s="121"/>
      <c r="AK29" s="121"/>
      <c r="AL29" s="121"/>
      <c r="AM29" s="121"/>
      <c r="AN29" s="121"/>
      <c r="AO29" s="121"/>
      <c r="AP29" s="121"/>
      <c r="AQ29" s="121"/>
      <c r="AR29" s="121"/>
      <c r="AS29" s="121"/>
      <c r="AT29" s="121"/>
      <c r="AU29" s="121"/>
    </row>
    <row r="30" spans="1:47" s="21" customFormat="1" ht="13" x14ac:dyDescent="0.15">
      <c r="A30" s="121"/>
      <c r="B30" s="140" t="s">
        <v>361</v>
      </c>
      <c r="C30" s="391"/>
      <c r="D30" s="391"/>
      <c r="E30" s="391"/>
      <c r="F30" s="391"/>
      <c r="G30" s="391"/>
      <c r="H30" s="391"/>
      <c r="I30" s="391"/>
      <c r="J30" s="391"/>
      <c r="K30" s="391"/>
      <c r="L30" s="391"/>
      <c r="M30" s="391"/>
      <c r="N30" s="391"/>
      <c r="O30" s="167">
        <f t="shared" si="0"/>
        <v>0</v>
      </c>
      <c r="P30" s="133">
        <f>VLOOKUP(B30,'Emissions Factors'!$B$186:$G$195,4,FALSE)</f>
        <v>0.13600000000000001</v>
      </c>
      <c r="Q30" s="133">
        <f>VLOOKUP(B30,'Emissions Factors'!$B$186:$G$195,5,FALSE)</f>
        <v>5.9999999999999995E-4</v>
      </c>
      <c r="R30" s="133">
        <f>VLOOKUP(B30,'Emissions Factors'!$B$186:$G$195,6,FALSE)</f>
        <v>4.3E-3</v>
      </c>
      <c r="S30" s="136">
        <f t="shared" si="1"/>
        <v>0</v>
      </c>
      <c r="T30" s="136">
        <f t="shared" si="2"/>
        <v>0</v>
      </c>
      <c r="U30" s="136">
        <f t="shared" si="3"/>
        <v>0</v>
      </c>
      <c r="V30" s="134">
        <f>'Emissions Factors'!$C$75</f>
        <v>28</v>
      </c>
      <c r="W30" s="134">
        <f>'Emissions Factors'!$C$76</f>
        <v>265</v>
      </c>
      <c r="X30" s="136">
        <f t="shared" si="4"/>
        <v>0</v>
      </c>
      <c r="Y30" s="418">
        <f t="shared" si="5"/>
        <v>0</v>
      </c>
      <c r="Z30" s="279"/>
      <c r="AA30" s="121"/>
      <c r="AB30" s="121"/>
      <c r="AC30" s="121"/>
      <c r="AD30" s="121"/>
      <c r="AE30" s="121"/>
      <c r="AF30" s="121"/>
      <c r="AG30" s="121"/>
      <c r="AH30" s="121"/>
      <c r="AI30" s="121"/>
      <c r="AJ30" s="121"/>
      <c r="AK30" s="121"/>
      <c r="AL30" s="121"/>
      <c r="AM30" s="121"/>
      <c r="AN30" s="121"/>
      <c r="AO30" s="121"/>
      <c r="AP30" s="121"/>
      <c r="AQ30" s="121"/>
      <c r="AR30" s="121"/>
      <c r="AS30" s="121"/>
      <c r="AT30" s="121"/>
      <c r="AU30" s="121"/>
    </row>
    <row r="31" spans="1:47" s="21" customFormat="1" ht="15" customHeight="1" x14ac:dyDescent="0.15">
      <c r="A31" s="121"/>
      <c r="B31" s="140" t="s">
        <v>362</v>
      </c>
      <c r="C31" s="391"/>
      <c r="D31" s="391"/>
      <c r="E31" s="391"/>
      <c r="F31" s="391"/>
      <c r="G31" s="391"/>
      <c r="H31" s="391"/>
      <c r="I31" s="391"/>
      <c r="J31" s="391"/>
      <c r="K31" s="391"/>
      <c r="L31" s="391"/>
      <c r="M31" s="391"/>
      <c r="N31" s="391"/>
      <c r="O31" s="167">
        <f t="shared" si="0"/>
        <v>0</v>
      </c>
      <c r="P31" s="133">
        <f>VLOOKUP(B31,'Emissions Factors'!$B$186:$G$195,4,FALSE)</f>
        <v>0.16600000000000001</v>
      </c>
      <c r="Q31" s="133">
        <f>VLOOKUP(B31,'Emissions Factors'!$B$186:$G$195,5,FALSE)</f>
        <v>5.9999999999999995E-4</v>
      </c>
      <c r="R31" s="133">
        <f>VLOOKUP(B31,'Emissions Factors'!$B$186:$G$195,6,FALSE)</f>
        <v>5.3E-3</v>
      </c>
      <c r="S31" s="136">
        <f t="shared" si="1"/>
        <v>0</v>
      </c>
      <c r="T31" s="136">
        <f t="shared" si="2"/>
        <v>0</v>
      </c>
      <c r="U31" s="136">
        <f t="shared" si="3"/>
        <v>0</v>
      </c>
      <c r="V31" s="134">
        <f>'Emissions Factors'!$C$75</f>
        <v>28</v>
      </c>
      <c r="W31" s="134">
        <f>'Emissions Factors'!$C$76</f>
        <v>265</v>
      </c>
      <c r="X31" s="136">
        <f t="shared" si="4"/>
        <v>0</v>
      </c>
      <c r="Y31" s="418">
        <f t="shared" si="5"/>
        <v>0</v>
      </c>
      <c r="Z31" s="279"/>
      <c r="AA31" s="121"/>
      <c r="AB31" s="121"/>
      <c r="AC31" s="121"/>
      <c r="AD31" s="121"/>
      <c r="AE31" s="121"/>
      <c r="AF31" s="121"/>
      <c r="AG31" s="121"/>
      <c r="AH31" s="121"/>
      <c r="AI31" s="121"/>
      <c r="AJ31" s="121"/>
      <c r="AK31" s="121"/>
      <c r="AL31" s="121"/>
      <c r="AM31" s="121"/>
      <c r="AN31" s="121"/>
      <c r="AO31" s="121"/>
      <c r="AP31" s="121"/>
      <c r="AQ31" s="121"/>
      <c r="AR31" s="121"/>
      <c r="AS31" s="121"/>
      <c r="AT31" s="121"/>
      <c r="AU31" s="121"/>
    </row>
    <row r="32" spans="1:47" s="21" customFormat="1" ht="15" customHeight="1" x14ac:dyDescent="0.15">
      <c r="A32" s="121"/>
      <c r="B32" s="140"/>
      <c r="C32" s="195"/>
      <c r="D32" s="195"/>
      <c r="E32" s="195"/>
      <c r="F32" s="195"/>
      <c r="G32" s="195"/>
      <c r="H32" s="195"/>
      <c r="I32" s="195"/>
      <c r="J32" s="195"/>
      <c r="K32" s="195"/>
      <c r="L32" s="195"/>
      <c r="M32" s="195"/>
      <c r="N32" s="195"/>
      <c r="O32" s="195"/>
      <c r="P32" s="195"/>
      <c r="Q32" s="195"/>
      <c r="R32" s="195"/>
      <c r="S32" s="195"/>
      <c r="T32" s="195"/>
      <c r="U32" s="195"/>
      <c r="V32" s="195"/>
      <c r="W32" s="195"/>
      <c r="X32" s="195"/>
      <c r="Y32" s="277"/>
      <c r="Z32" s="277"/>
      <c r="AA32" s="121"/>
      <c r="AB32" s="121"/>
      <c r="AC32" s="121"/>
      <c r="AD32" s="121"/>
      <c r="AE32" s="121"/>
      <c r="AF32" s="121"/>
      <c r="AG32" s="121"/>
      <c r="AH32" s="121"/>
      <c r="AI32" s="121"/>
      <c r="AJ32" s="121"/>
      <c r="AK32" s="121"/>
      <c r="AL32" s="121"/>
      <c r="AM32" s="121"/>
      <c r="AN32" s="121"/>
      <c r="AO32" s="121"/>
      <c r="AP32" s="121"/>
      <c r="AQ32" s="121"/>
      <c r="AR32" s="121"/>
      <c r="AS32" s="121"/>
      <c r="AT32" s="121"/>
      <c r="AU32" s="121"/>
    </row>
    <row r="33" spans="1:47" s="21" customFormat="1" ht="15" customHeight="1" x14ac:dyDescent="0.15">
      <c r="A33" s="121"/>
      <c r="B33" s="270" t="s">
        <v>364</v>
      </c>
      <c r="C33" s="197"/>
      <c r="D33" s="197"/>
      <c r="E33" s="197"/>
      <c r="F33" s="197"/>
      <c r="G33" s="197"/>
      <c r="H33" s="197"/>
      <c r="I33" s="197"/>
      <c r="J33" s="197"/>
      <c r="K33" s="197"/>
      <c r="L33" s="197"/>
      <c r="M33" s="197"/>
      <c r="N33" s="197"/>
      <c r="O33" s="197"/>
      <c r="P33" s="195"/>
      <c r="Q33" s="195"/>
      <c r="R33" s="195"/>
      <c r="S33" s="195"/>
      <c r="T33" s="195"/>
      <c r="U33" s="195"/>
      <c r="V33" s="195"/>
      <c r="W33" s="195"/>
      <c r="X33" s="195"/>
      <c r="Y33" s="277"/>
      <c r="Z33" s="277"/>
      <c r="AA33" s="121"/>
      <c r="AB33" s="121"/>
      <c r="AC33" s="121"/>
      <c r="AD33" s="121"/>
      <c r="AE33" s="121"/>
      <c r="AF33" s="121"/>
      <c r="AG33" s="121"/>
      <c r="AH33" s="121"/>
      <c r="AI33" s="121"/>
      <c r="AJ33" s="121"/>
      <c r="AK33" s="121"/>
      <c r="AL33" s="121"/>
      <c r="AM33" s="121"/>
      <c r="AN33" s="121"/>
      <c r="AO33" s="121"/>
      <c r="AP33" s="121"/>
      <c r="AQ33" s="121"/>
      <c r="AR33" s="121"/>
      <c r="AS33" s="121"/>
      <c r="AT33" s="121"/>
      <c r="AU33" s="121"/>
    </row>
    <row r="34" spans="1:47" s="21" customFormat="1" ht="13" x14ac:dyDescent="0.15">
      <c r="A34" s="121"/>
      <c r="B34" s="567" t="s">
        <v>567</v>
      </c>
      <c r="C34" s="567"/>
      <c r="D34" s="567"/>
      <c r="E34" s="567"/>
      <c r="F34" s="567"/>
      <c r="G34" s="567"/>
      <c r="H34" s="567"/>
      <c r="I34" s="567"/>
      <c r="J34" s="567"/>
      <c r="K34" s="567"/>
      <c r="L34" s="567"/>
      <c r="M34" s="567"/>
      <c r="N34" s="567"/>
      <c r="O34" s="567"/>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row>
    <row r="35" spans="1:47" s="199" customFormat="1" ht="30" customHeight="1" x14ac:dyDescent="0.2">
      <c r="A35" s="198"/>
      <c r="B35" s="567" t="s">
        <v>568</v>
      </c>
      <c r="C35" s="567"/>
      <c r="D35" s="567"/>
      <c r="E35" s="567"/>
      <c r="F35" s="567"/>
      <c r="G35" s="567"/>
      <c r="H35" s="567"/>
      <c r="I35" s="567"/>
      <c r="J35" s="567"/>
      <c r="K35" s="567"/>
      <c r="L35" s="567"/>
      <c r="M35" s="567"/>
      <c r="N35" s="567"/>
      <c r="O35" s="567"/>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row>
    <row r="36" spans="1:47" s="21" customFormat="1" ht="13" x14ac:dyDescent="0.15">
      <c r="A36" s="121"/>
      <c r="B36" s="567" t="s">
        <v>569</v>
      </c>
      <c r="C36" s="567"/>
      <c r="D36" s="567"/>
      <c r="E36" s="567"/>
      <c r="F36" s="567"/>
      <c r="G36" s="567"/>
      <c r="H36" s="567"/>
      <c r="I36" s="567"/>
      <c r="J36" s="567"/>
      <c r="K36" s="567"/>
      <c r="L36" s="567"/>
      <c r="M36" s="567"/>
      <c r="N36" s="567"/>
      <c r="O36" s="567"/>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row>
    <row r="37" spans="1:47" s="21" customFormat="1" ht="13" x14ac:dyDescent="0.15">
      <c r="A37" s="121"/>
      <c r="B37" s="567" t="s">
        <v>570</v>
      </c>
      <c r="C37" s="567"/>
      <c r="D37" s="567"/>
      <c r="E37" s="567"/>
      <c r="F37" s="567"/>
      <c r="G37" s="567"/>
      <c r="H37" s="567"/>
      <c r="I37" s="567"/>
      <c r="J37" s="567"/>
      <c r="K37" s="567"/>
      <c r="L37" s="567"/>
      <c r="M37" s="567"/>
      <c r="N37" s="567"/>
      <c r="O37" s="567"/>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row>
    <row r="38" spans="1:47" s="21" customFormat="1" ht="28" customHeight="1" x14ac:dyDescent="0.15">
      <c r="A38" s="121"/>
      <c r="B38" s="570" t="s">
        <v>571</v>
      </c>
      <c r="C38" s="570"/>
      <c r="D38" s="570"/>
      <c r="E38" s="570"/>
      <c r="F38" s="570"/>
      <c r="G38" s="570"/>
      <c r="H38" s="570"/>
      <c r="I38" s="570"/>
      <c r="J38" s="570"/>
      <c r="K38" s="570"/>
      <c r="L38" s="570"/>
      <c r="M38" s="570"/>
      <c r="N38" s="570"/>
      <c r="O38" s="570"/>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row>
    <row r="39" spans="1:47" ht="20.25" customHeight="1" x14ac:dyDescent="0.2">
      <c r="B39" s="568" t="s">
        <v>433</v>
      </c>
      <c r="C39" s="568"/>
      <c r="D39" s="568"/>
      <c r="E39" s="568"/>
      <c r="F39" s="568"/>
      <c r="G39" s="568"/>
      <c r="H39" s="568"/>
      <c r="I39" s="568"/>
      <c r="J39" s="568"/>
      <c r="K39" s="568"/>
      <c r="L39" s="568"/>
      <c r="M39" s="568"/>
      <c r="N39" s="568"/>
      <c r="O39" s="196"/>
      <c r="P39" s="2"/>
      <c r="Q39" s="2"/>
      <c r="R39" s="2"/>
      <c r="S39" s="2"/>
      <c r="T39" s="2"/>
      <c r="U39" s="2"/>
      <c r="V39" s="2"/>
      <c r="W39" s="2"/>
      <c r="X39" s="121"/>
      <c r="Y39" s="121"/>
      <c r="Z39" s="121"/>
    </row>
    <row r="40" spans="1:47" x14ac:dyDescent="0.15">
      <c r="B40" s="539"/>
      <c r="C40" s="540"/>
      <c r="D40" s="540"/>
      <c r="E40" s="540"/>
      <c r="F40" s="540"/>
      <c r="G40" s="540"/>
      <c r="H40" s="540"/>
      <c r="I40" s="540"/>
      <c r="J40" s="540"/>
      <c r="K40" s="540"/>
      <c r="L40" s="540"/>
      <c r="M40" s="540"/>
      <c r="N40" s="541"/>
      <c r="O40" s="196"/>
      <c r="P40" s="2"/>
      <c r="Q40" s="2"/>
      <c r="R40" s="2"/>
      <c r="S40" s="2"/>
      <c r="T40" s="2"/>
      <c r="U40" s="2"/>
      <c r="V40" s="2"/>
      <c r="W40" s="2"/>
      <c r="X40" s="121"/>
      <c r="Y40" s="121"/>
      <c r="Z40" s="121"/>
    </row>
    <row r="41" spans="1:47" x14ac:dyDescent="0.15">
      <c r="B41" s="542"/>
      <c r="C41" s="543"/>
      <c r="D41" s="543"/>
      <c r="E41" s="543"/>
      <c r="F41" s="543"/>
      <c r="G41" s="543"/>
      <c r="H41" s="543"/>
      <c r="I41" s="543"/>
      <c r="J41" s="543"/>
      <c r="K41" s="543"/>
      <c r="L41" s="543"/>
      <c r="M41" s="543"/>
      <c r="N41" s="544"/>
      <c r="O41" s="196"/>
      <c r="P41" s="2"/>
      <c r="Q41" s="2"/>
      <c r="R41" s="2"/>
      <c r="S41" s="2"/>
      <c r="T41" s="2"/>
      <c r="U41" s="2"/>
      <c r="V41" s="2"/>
      <c r="W41" s="2"/>
      <c r="X41" s="121"/>
      <c r="Y41" s="121"/>
      <c r="Z41" s="121"/>
    </row>
    <row r="42" spans="1:47" x14ac:dyDescent="0.15">
      <c r="B42" s="542"/>
      <c r="C42" s="543"/>
      <c r="D42" s="543"/>
      <c r="E42" s="543"/>
      <c r="F42" s="543"/>
      <c r="G42" s="543"/>
      <c r="H42" s="543"/>
      <c r="I42" s="543"/>
      <c r="J42" s="543"/>
      <c r="K42" s="543"/>
      <c r="L42" s="543"/>
      <c r="M42" s="543"/>
      <c r="N42" s="544"/>
      <c r="O42" s="196"/>
      <c r="P42" s="2"/>
      <c r="Q42" s="2"/>
      <c r="R42" s="2"/>
      <c r="S42" s="2"/>
      <c r="T42" s="2"/>
      <c r="U42" s="2"/>
      <c r="V42" s="2"/>
      <c r="W42" s="2"/>
      <c r="X42" s="121"/>
      <c r="Y42" s="121"/>
      <c r="Z42" s="121"/>
    </row>
    <row r="43" spans="1:47" x14ac:dyDescent="0.15">
      <c r="B43" s="542"/>
      <c r="C43" s="543"/>
      <c r="D43" s="543"/>
      <c r="E43" s="543"/>
      <c r="F43" s="543"/>
      <c r="G43" s="543"/>
      <c r="H43" s="543"/>
      <c r="I43" s="543"/>
      <c r="J43" s="543"/>
      <c r="K43" s="543"/>
      <c r="L43" s="543"/>
      <c r="M43" s="543"/>
      <c r="N43" s="544"/>
      <c r="O43" s="196"/>
      <c r="P43" s="2"/>
      <c r="Q43" s="2"/>
      <c r="R43" s="2"/>
      <c r="S43" s="2"/>
      <c r="T43" s="2"/>
      <c r="U43" s="2"/>
      <c r="V43" s="2"/>
      <c r="W43" s="2"/>
      <c r="X43" s="121"/>
      <c r="Y43" s="121"/>
      <c r="Z43" s="121"/>
    </row>
    <row r="44" spans="1:47" x14ac:dyDescent="0.15">
      <c r="B44" s="542"/>
      <c r="C44" s="543"/>
      <c r="D44" s="543"/>
      <c r="E44" s="543"/>
      <c r="F44" s="543"/>
      <c r="G44" s="543"/>
      <c r="H44" s="543"/>
      <c r="I44" s="543"/>
      <c r="J44" s="543"/>
      <c r="K44" s="543"/>
      <c r="L44" s="543"/>
      <c r="M44" s="543"/>
      <c r="N44" s="544"/>
      <c r="O44" s="196"/>
      <c r="P44" s="2"/>
      <c r="Q44" s="2"/>
      <c r="R44" s="2"/>
      <c r="S44" s="2"/>
      <c r="T44" s="2"/>
      <c r="U44" s="2"/>
      <c r="V44" s="2"/>
      <c r="W44" s="2"/>
      <c r="X44" s="121"/>
      <c r="Y44" s="121"/>
      <c r="Z44" s="121"/>
    </row>
    <row r="45" spans="1:47" x14ac:dyDescent="0.15">
      <c r="B45" s="545"/>
      <c r="C45" s="546"/>
      <c r="D45" s="546"/>
      <c r="E45" s="546"/>
      <c r="F45" s="546"/>
      <c r="G45" s="546"/>
      <c r="H45" s="546"/>
      <c r="I45" s="546"/>
      <c r="J45" s="546"/>
      <c r="K45" s="546"/>
      <c r="L45" s="546"/>
      <c r="M45" s="546"/>
      <c r="N45" s="547"/>
      <c r="O45" s="196"/>
      <c r="P45" s="2"/>
      <c r="Q45" s="2"/>
      <c r="R45" s="2"/>
      <c r="S45" s="2"/>
      <c r="T45" s="2"/>
      <c r="U45" s="2"/>
      <c r="V45" s="2"/>
      <c r="W45" s="2"/>
      <c r="X45" s="121"/>
      <c r="Y45" s="121"/>
      <c r="Z45" s="121"/>
    </row>
    <row r="46" spans="1:47" s="2" customFormat="1" x14ac:dyDescent="0.15">
      <c r="B46" s="10"/>
      <c r="Y46" s="121"/>
      <c r="Z46" s="121"/>
    </row>
    <row r="47" spans="1:47" s="2" customFormat="1" x14ac:dyDescent="0.15">
      <c r="B47" s="10"/>
    </row>
    <row r="48" spans="1:47" s="2" customFormat="1" x14ac:dyDescent="0.15">
      <c r="B48" s="10"/>
    </row>
    <row r="49" spans="2:2" s="2" customFormat="1" x14ac:dyDescent="0.15">
      <c r="B49" s="10"/>
    </row>
    <row r="50" spans="2:2" s="2" customFormat="1" x14ac:dyDescent="0.15">
      <c r="B50" s="10"/>
    </row>
    <row r="51" spans="2:2" s="2" customFormat="1" x14ac:dyDescent="0.15">
      <c r="B51" s="10"/>
    </row>
    <row r="52" spans="2:2" s="2" customFormat="1" x14ac:dyDescent="0.15">
      <c r="B52" s="10"/>
    </row>
    <row r="53" spans="2:2" s="2" customFormat="1" x14ac:dyDescent="0.15">
      <c r="B53" s="10"/>
    </row>
    <row r="54" spans="2:2" s="2" customFormat="1" x14ac:dyDescent="0.15">
      <c r="B54" s="10"/>
    </row>
    <row r="55" spans="2:2" s="2" customFormat="1" x14ac:dyDescent="0.15">
      <c r="B55" s="10"/>
    </row>
    <row r="56" spans="2:2" s="2" customFormat="1" x14ac:dyDescent="0.15">
      <c r="B56" s="10"/>
    </row>
    <row r="57" spans="2:2" s="2" customFormat="1" x14ac:dyDescent="0.15">
      <c r="B57" s="10"/>
    </row>
    <row r="58" spans="2:2" s="2" customFormat="1" x14ac:dyDescent="0.15">
      <c r="B58" s="10"/>
    </row>
    <row r="59" spans="2:2" s="2" customFormat="1" x14ac:dyDescent="0.15">
      <c r="B59" s="10"/>
    </row>
    <row r="60" spans="2:2" s="2" customFormat="1" x14ac:dyDescent="0.15">
      <c r="B60" s="10"/>
    </row>
    <row r="61" spans="2:2" s="2" customFormat="1" x14ac:dyDescent="0.15">
      <c r="B61" s="10"/>
    </row>
    <row r="62" spans="2:2" s="2" customFormat="1" x14ac:dyDescent="0.15">
      <c r="B62" s="10"/>
    </row>
    <row r="63" spans="2:2" s="2" customFormat="1" x14ac:dyDescent="0.15">
      <c r="B63" s="10"/>
    </row>
    <row r="64" spans="2:2" s="2" customFormat="1" x14ac:dyDescent="0.15">
      <c r="B64" s="10"/>
    </row>
    <row r="65" spans="2:2" s="2" customFormat="1" x14ac:dyDescent="0.15">
      <c r="B65" s="10"/>
    </row>
    <row r="66" spans="2:2" s="2" customFormat="1" x14ac:dyDescent="0.15">
      <c r="B66" s="10"/>
    </row>
    <row r="67" spans="2:2" s="2" customFormat="1" x14ac:dyDescent="0.15">
      <c r="B67" s="10"/>
    </row>
    <row r="68" spans="2:2" s="2" customFormat="1" x14ac:dyDescent="0.15">
      <c r="B68" s="10"/>
    </row>
    <row r="69" spans="2:2" s="2" customFormat="1" x14ac:dyDescent="0.15">
      <c r="B69" s="10"/>
    </row>
    <row r="70" spans="2:2" s="2" customFormat="1" x14ac:dyDescent="0.15">
      <c r="B70" s="10"/>
    </row>
    <row r="71" spans="2:2" s="2" customFormat="1" x14ac:dyDescent="0.15">
      <c r="B71" s="10"/>
    </row>
    <row r="72" spans="2:2" s="2" customFormat="1" x14ac:dyDescent="0.15">
      <c r="B72" s="10"/>
    </row>
    <row r="73" spans="2:2" s="2" customFormat="1" x14ac:dyDescent="0.15">
      <c r="B73" s="10"/>
    </row>
    <row r="74" spans="2:2" s="2" customFormat="1" x14ac:dyDescent="0.15">
      <c r="B74" s="10"/>
    </row>
    <row r="75" spans="2:2" s="2" customFormat="1" x14ac:dyDescent="0.15">
      <c r="B75" s="10"/>
    </row>
    <row r="76" spans="2:2" s="2" customFormat="1" x14ac:dyDescent="0.15">
      <c r="B76" s="10"/>
    </row>
    <row r="77" spans="2:2" s="2" customFormat="1" x14ac:dyDescent="0.15">
      <c r="B77" s="10"/>
    </row>
    <row r="78" spans="2:2" s="2" customFormat="1" x14ac:dyDescent="0.15">
      <c r="B78" s="10"/>
    </row>
    <row r="79" spans="2:2" s="2" customFormat="1" x14ac:dyDescent="0.15">
      <c r="B79" s="10"/>
    </row>
    <row r="80" spans="2:2" s="2" customFormat="1" x14ac:dyDescent="0.15">
      <c r="B80" s="10"/>
    </row>
    <row r="81" spans="2:2" s="2" customFormat="1" x14ac:dyDescent="0.15">
      <c r="B81" s="10"/>
    </row>
    <row r="82" spans="2:2" s="2" customFormat="1" x14ac:dyDescent="0.15">
      <c r="B82" s="10"/>
    </row>
    <row r="83" spans="2:2" s="2" customFormat="1" x14ac:dyDescent="0.15">
      <c r="B83" s="10"/>
    </row>
    <row r="84" spans="2:2" s="2" customFormat="1" x14ac:dyDescent="0.15">
      <c r="B84" s="10"/>
    </row>
    <row r="85" spans="2:2" s="2" customFormat="1" x14ac:dyDescent="0.15">
      <c r="B85" s="10"/>
    </row>
    <row r="86" spans="2:2" s="2" customFormat="1" x14ac:dyDescent="0.15">
      <c r="B86" s="10"/>
    </row>
    <row r="87" spans="2:2" s="2" customFormat="1" x14ac:dyDescent="0.15">
      <c r="B87" s="10"/>
    </row>
    <row r="88" spans="2:2" s="2" customFormat="1" x14ac:dyDescent="0.15">
      <c r="B88" s="10"/>
    </row>
    <row r="89" spans="2:2" s="2" customFormat="1" x14ac:dyDescent="0.15">
      <c r="B89" s="10"/>
    </row>
    <row r="90" spans="2:2" s="2" customFormat="1" x14ac:dyDescent="0.15">
      <c r="B90" s="10"/>
    </row>
    <row r="91" spans="2:2" s="2" customFormat="1" x14ac:dyDescent="0.15">
      <c r="B91" s="10"/>
    </row>
    <row r="92" spans="2:2" s="2" customFormat="1" x14ac:dyDescent="0.15">
      <c r="B92" s="10"/>
    </row>
    <row r="93" spans="2:2" s="2" customFormat="1" x14ac:dyDescent="0.15">
      <c r="B93" s="10"/>
    </row>
    <row r="94" spans="2:2" s="2" customFormat="1" x14ac:dyDescent="0.15">
      <c r="B94" s="10"/>
    </row>
    <row r="95" spans="2:2" s="2" customFormat="1" x14ac:dyDescent="0.15">
      <c r="B95" s="10"/>
    </row>
    <row r="96" spans="2:2" s="2" customFormat="1" x14ac:dyDescent="0.15">
      <c r="B96" s="10"/>
    </row>
    <row r="97" spans="2:2" s="2" customFormat="1" x14ac:dyDescent="0.15">
      <c r="B97" s="10"/>
    </row>
    <row r="98" spans="2:2" s="2" customFormat="1" x14ac:dyDescent="0.15">
      <c r="B98" s="10"/>
    </row>
    <row r="99" spans="2:2" s="2" customFormat="1" x14ac:dyDescent="0.15">
      <c r="B99" s="10"/>
    </row>
    <row r="100" spans="2:2" s="2" customFormat="1" x14ac:dyDescent="0.15">
      <c r="B100" s="10"/>
    </row>
    <row r="101" spans="2:2" s="2" customFormat="1" x14ac:dyDescent="0.15">
      <c r="B101" s="10"/>
    </row>
    <row r="102" spans="2:2" s="2" customFormat="1" x14ac:dyDescent="0.15">
      <c r="B102" s="10"/>
    </row>
    <row r="103" spans="2:2" s="2" customFormat="1" x14ac:dyDescent="0.15">
      <c r="B103" s="10"/>
    </row>
    <row r="104" spans="2:2" s="2" customFormat="1" x14ac:dyDescent="0.15">
      <c r="B104" s="10"/>
    </row>
    <row r="105" spans="2:2" s="2" customFormat="1" x14ac:dyDescent="0.15">
      <c r="B105" s="10"/>
    </row>
    <row r="106" spans="2:2" s="2" customFormat="1" x14ac:dyDescent="0.15">
      <c r="B106" s="10"/>
    </row>
    <row r="107" spans="2:2" s="2" customFormat="1" x14ac:dyDescent="0.15">
      <c r="B107" s="10"/>
    </row>
    <row r="108" spans="2:2" s="2" customFormat="1" x14ac:dyDescent="0.15">
      <c r="B108" s="10"/>
    </row>
    <row r="109" spans="2:2" s="2" customFormat="1" x14ac:dyDescent="0.15">
      <c r="B109" s="10"/>
    </row>
    <row r="110" spans="2:2" s="2" customFormat="1" x14ac:dyDescent="0.15">
      <c r="B110" s="10"/>
    </row>
    <row r="111" spans="2:2" s="2" customFormat="1" x14ac:dyDescent="0.15">
      <c r="B111" s="10"/>
    </row>
    <row r="112" spans="2:2" s="2" customFormat="1" x14ac:dyDescent="0.15">
      <c r="B112" s="10"/>
    </row>
    <row r="113" spans="2:2" s="2" customFormat="1" x14ac:dyDescent="0.15">
      <c r="B113" s="10"/>
    </row>
    <row r="114" spans="2:2" s="2" customFormat="1" x14ac:dyDescent="0.15">
      <c r="B114" s="10"/>
    </row>
    <row r="115" spans="2:2" s="2" customFormat="1" x14ac:dyDescent="0.15">
      <c r="B115" s="10"/>
    </row>
    <row r="116" spans="2:2" s="2" customFormat="1" x14ac:dyDescent="0.15">
      <c r="B116" s="10"/>
    </row>
    <row r="117" spans="2:2" s="2" customFormat="1" x14ac:dyDescent="0.15">
      <c r="B117" s="10"/>
    </row>
    <row r="118" spans="2:2" s="2" customFormat="1" x14ac:dyDescent="0.15">
      <c r="B118" s="10"/>
    </row>
    <row r="119" spans="2:2" s="2" customFormat="1" x14ac:dyDescent="0.15">
      <c r="B119" s="10"/>
    </row>
    <row r="120" spans="2:2" s="2" customFormat="1" x14ac:dyDescent="0.15">
      <c r="B120" s="10"/>
    </row>
    <row r="121" spans="2:2" s="2" customFormat="1" x14ac:dyDescent="0.15">
      <c r="B121" s="10"/>
    </row>
    <row r="122" spans="2:2" s="2" customFormat="1" x14ac:dyDescent="0.15">
      <c r="B122" s="10"/>
    </row>
    <row r="123" spans="2:2" s="2" customFormat="1" x14ac:dyDescent="0.15">
      <c r="B123" s="10"/>
    </row>
    <row r="124" spans="2:2" s="2" customFormat="1" x14ac:dyDescent="0.15">
      <c r="B124" s="10"/>
    </row>
    <row r="125" spans="2:2" s="2" customFormat="1" x14ac:dyDescent="0.15">
      <c r="B125" s="10"/>
    </row>
    <row r="126" spans="2:2" s="2" customFormat="1" x14ac:dyDescent="0.15">
      <c r="B126" s="10"/>
    </row>
    <row r="127" spans="2:2" s="2" customFormat="1" x14ac:dyDescent="0.15">
      <c r="B127" s="10"/>
    </row>
    <row r="128" spans="2:2" s="2" customFormat="1" x14ac:dyDescent="0.15">
      <c r="B128" s="10"/>
    </row>
    <row r="129" spans="2:2" s="2" customFormat="1" x14ac:dyDescent="0.15">
      <c r="B129" s="10"/>
    </row>
    <row r="130" spans="2:2" s="2" customFormat="1" x14ac:dyDescent="0.15">
      <c r="B130" s="10"/>
    </row>
    <row r="131" spans="2:2" s="2" customFormat="1" x14ac:dyDescent="0.15">
      <c r="B131" s="10"/>
    </row>
    <row r="132" spans="2:2" s="2" customFormat="1" x14ac:dyDescent="0.15">
      <c r="B132" s="10"/>
    </row>
    <row r="133" spans="2:2" s="2" customFormat="1" x14ac:dyDescent="0.15">
      <c r="B133" s="10"/>
    </row>
    <row r="134" spans="2:2" s="2" customFormat="1" x14ac:dyDescent="0.15">
      <c r="B134" s="10"/>
    </row>
    <row r="135" spans="2:2" s="2" customFormat="1" x14ac:dyDescent="0.15">
      <c r="B135" s="10"/>
    </row>
    <row r="136" spans="2:2" s="2" customFormat="1" x14ac:dyDescent="0.15">
      <c r="B136" s="10"/>
    </row>
    <row r="137" spans="2:2" s="2" customFormat="1" x14ac:dyDescent="0.15">
      <c r="B137" s="10"/>
    </row>
    <row r="138" spans="2:2" s="2" customFormat="1" x14ac:dyDescent="0.15">
      <c r="B138" s="10"/>
    </row>
    <row r="139" spans="2:2" s="2" customFormat="1" x14ac:dyDescent="0.15">
      <c r="B139" s="10"/>
    </row>
    <row r="140" spans="2:2" s="2" customFormat="1" x14ac:dyDescent="0.15">
      <c r="B140" s="10"/>
    </row>
    <row r="141" spans="2:2" s="2" customFormat="1" x14ac:dyDescent="0.15">
      <c r="B141" s="10"/>
    </row>
    <row r="142" spans="2:2" s="2" customFormat="1" x14ac:dyDescent="0.15">
      <c r="B142" s="10"/>
    </row>
    <row r="143" spans="2:2" s="2" customFormat="1" x14ac:dyDescent="0.15">
      <c r="B143" s="10"/>
    </row>
    <row r="144" spans="2:2" s="2" customFormat="1" x14ac:dyDescent="0.15">
      <c r="B144" s="10"/>
    </row>
    <row r="145" spans="2:2" s="2" customFormat="1" x14ac:dyDescent="0.15">
      <c r="B145" s="10"/>
    </row>
    <row r="146" spans="2:2" s="2" customFormat="1" x14ac:dyDescent="0.15">
      <c r="B146" s="10"/>
    </row>
    <row r="147" spans="2:2" s="2" customFormat="1" x14ac:dyDescent="0.15">
      <c r="B147" s="10"/>
    </row>
    <row r="148" spans="2:2" s="2" customFormat="1" x14ac:dyDescent="0.15">
      <c r="B148" s="10"/>
    </row>
    <row r="149" spans="2:2" s="2" customFormat="1" x14ac:dyDescent="0.15">
      <c r="B149" s="10"/>
    </row>
    <row r="150" spans="2:2" s="2" customFormat="1" x14ac:dyDescent="0.15">
      <c r="B150" s="10"/>
    </row>
    <row r="151" spans="2:2" s="2" customFormat="1" x14ac:dyDescent="0.15">
      <c r="B151" s="10"/>
    </row>
    <row r="152" spans="2:2" s="2" customFormat="1" x14ac:dyDescent="0.15">
      <c r="B152" s="10"/>
    </row>
    <row r="153" spans="2:2" s="2" customFormat="1" x14ac:dyDescent="0.15">
      <c r="B153" s="10"/>
    </row>
    <row r="154" spans="2:2" s="2" customFormat="1" x14ac:dyDescent="0.15">
      <c r="B154" s="10"/>
    </row>
    <row r="155" spans="2:2" s="2" customFormat="1" x14ac:dyDescent="0.15">
      <c r="B155" s="10"/>
    </row>
    <row r="156" spans="2:2" s="2" customFormat="1" x14ac:dyDescent="0.15">
      <c r="B156" s="10"/>
    </row>
    <row r="157" spans="2:2" s="2" customFormat="1" x14ac:dyDescent="0.15">
      <c r="B157" s="10"/>
    </row>
    <row r="158" spans="2:2" s="2" customFormat="1" x14ac:dyDescent="0.15">
      <c r="B158" s="10"/>
    </row>
    <row r="159" spans="2:2" s="2" customFormat="1" x14ac:dyDescent="0.15">
      <c r="B159" s="10"/>
    </row>
    <row r="160" spans="2:2" s="2" customFormat="1" x14ac:dyDescent="0.15">
      <c r="B160" s="10"/>
    </row>
    <row r="161" spans="2:2" s="2" customFormat="1" x14ac:dyDescent="0.15">
      <c r="B161" s="10"/>
    </row>
    <row r="162" spans="2:2" s="2" customFormat="1" x14ac:dyDescent="0.15">
      <c r="B162" s="10"/>
    </row>
    <row r="163" spans="2:2" s="2" customFormat="1" x14ac:dyDescent="0.15">
      <c r="B163" s="10"/>
    </row>
    <row r="164" spans="2:2" s="2" customFormat="1" x14ac:dyDescent="0.15">
      <c r="B164" s="10"/>
    </row>
    <row r="165" spans="2:2" s="2" customFormat="1" x14ac:dyDescent="0.15">
      <c r="B165" s="10"/>
    </row>
    <row r="166" spans="2:2" s="2" customFormat="1" x14ac:dyDescent="0.15">
      <c r="B166" s="10"/>
    </row>
    <row r="167" spans="2:2" s="2" customFormat="1" x14ac:dyDescent="0.15">
      <c r="B167" s="10"/>
    </row>
    <row r="168" spans="2:2" s="2" customFormat="1" x14ac:dyDescent="0.15">
      <c r="B168" s="10"/>
    </row>
    <row r="169" spans="2:2" s="2" customFormat="1" x14ac:dyDescent="0.15">
      <c r="B169" s="10"/>
    </row>
    <row r="170" spans="2:2" s="2" customFormat="1" x14ac:dyDescent="0.15">
      <c r="B170" s="10"/>
    </row>
    <row r="171" spans="2:2" s="2" customFormat="1" x14ac:dyDescent="0.15">
      <c r="B171" s="10"/>
    </row>
    <row r="172" spans="2:2" s="2" customFormat="1" x14ac:dyDescent="0.15">
      <c r="B172" s="10"/>
    </row>
    <row r="173" spans="2:2" s="2" customFormat="1" x14ac:dyDescent="0.15">
      <c r="B173" s="10"/>
    </row>
    <row r="174" spans="2:2" s="2" customFormat="1" x14ac:dyDescent="0.15">
      <c r="B174" s="10"/>
    </row>
    <row r="175" spans="2:2" s="2" customFormat="1" x14ac:dyDescent="0.15">
      <c r="B175" s="10"/>
    </row>
    <row r="176" spans="2:2" s="2" customFormat="1" x14ac:dyDescent="0.15">
      <c r="B176" s="10"/>
    </row>
    <row r="177" spans="2:2" s="2" customFormat="1" x14ac:dyDescent="0.15">
      <c r="B177" s="10"/>
    </row>
    <row r="178" spans="2:2" s="2" customFormat="1" x14ac:dyDescent="0.15">
      <c r="B178" s="10"/>
    </row>
    <row r="179" spans="2:2" s="2" customFormat="1" x14ac:dyDescent="0.15">
      <c r="B179" s="10"/>
    </row>
    <row r="180" spans="2:2" s="2" customFormat="1" x14ac:dyDescent="0.15">
      <c r="B180" s="10"/>
    </row>
    <row r="181" spans="2:2" s="2" customFormat="1" x14ac:dyDescent="0.15">
      <c r="B181" s="10"/>
    </row>
    <row r="182" spans="2:2" s="2" customFormat="1" x14ac:dyDescent="0.15">
      <c r="B182" s="10"/>
    </row>
    <row r="183" spans="2:2" s="2" customFormat="1" x14ac:dyDescent="0.15">
      <c r="B183" s="10"/>
    </row>
    <row r="184" spans="2:2" s="2" customFormat="1" x14ac:dyDescent="0.15">
      <c r="B184" s="10"/>
    </row>
  </sheetData>
  <sheetProtection algorithmName="SHA-512" hashValue="G34WbCMDtZ0TSQS3I+Iql0Bg89C746r2uN/lRiPHQ8xllo04xkXHrDbsQU1DIlbRBuuQtAtLS9BGe/aqVg3HCg==" saltValue="J4XjylwMe1wXYvf4k2tw6g==" spinCount="100000" sheet="1" objects="1" scenarios="1"/>
  <mergeCells count="10">
    <mergeCell ref="AA20:AH21"/>
    <mergeCell ref="B4:O9"/>
    <mergeCell ref="B34:O34"/>
    <mergeCell ref="B35:O35"/>
    <mergeCell ref="B40:N45"/>
    <mergeCell ref="B39:N39"/>
    <mergeCell ref="B19:N19"/>
    <mergeCell ref="B36:O36"/>
    <mergeCell ref="B37:O37"/>
    <mergeCell ref="B38:O38"/>
  </mergeCells>
  <phoneticPr fontId="10" type="noConversion"/>
  <hyperlinks>
    <hyperlink ref="AA23" r:id="rId1" xr:uid="{00000000-0004-0000-0B00-000000000000}"/>
  </hyperlinks>
  <pageMargins left="0.7" right="0.7" top="0.75" bottom="0.75" header="0.3" footer="0.3"/>
  <headerFooter>
    <oddFooter>&amp;R&amp;"-,Bold"&amp;K01+015LIVE Winery Program Greenhouse Gas Emissions Report&amp;"-,Regular"  |  LIVE-XWX-12031401-A0</oddFooter>
  </headerFooter>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pageSetUpPr fitToPage="1"/>
  </sheetPr>
  <dimension ref="A1:DN97"/>
  <sheetViews>
    <sheetView zoomScale="113" zoomScaleNormal="100" workbookViewId="0">
      <selection activeCell="B17" sqref="B17"/>
    </sheetView>
  </sheetViews>
  <sheetFormatPr baseColWidth="10" defaultColWidth="9.1640625" defaultRowHeight="14" outlineLevelRow="1" outlineLevelCol="1" x14ac:dyDescent="0.15"/>
  <cols>
    <col min="1" max="1" width="3" style="2" customWidth="1"/>
    <col min="2" max="2" width="13" style="10" customWidth="1"/>
    <col min="3" max="3" width="24.33203125" style="2" customWidth="1"/>
    <col min="4" max="4" width="14.6640625" style="2" customWidth="1"/>
    <col min="5" max="5" width="35.5" style="2" customWidth="1"/>
    <col min="6" max="7" width="13" style="2" customWidth="1"/>
    <col min="8" max="10" width="10.6640625" style="107" hidden="1" customWidth="1" outlineLevel="1"/>
    <col min="11" max="16" width="9.1640625" style="107" hidden="1" customWidth="1" outlineLevel="1"/>
    <col min="17" max="17" width="12.6640625" style="2" customWidth="1" collapsed="1"/>
    <col min="18" max="18" width="2.5" style="2" customWidth="1"/>
    <col min="19" max="118" width="9.1640625" style="2"/>
    <col min="119" max="16384" width="9.1640625" style="107"/>
  </cols>
  <sheetData>
    <row r="1" spans="1:118" ht="33" customHeight="1" x14ac:dyDescent="0.25">
      <c r="A1" s="114"/>
      <c r="B1" s="1" t="s">
        <v>15</v>
      </c>
      <c r="H1" s="115"/>
      <c r="I1" s="2"/>
      <c r="J1" s="2"/>
      <c r="K1" s="2"/>
      <c r="L1" s="2"/>
      <c r="M1" s="2"/>
      <c r="N1" s="2"/>
      <c r="O1" s="2"/>
      <c r="P1" s="2"/>
      <c r="Q1" s="2" t="s">
        <v>892</v>
      </c>
    </row>
    <row r="2" spans="1:118" ht="30" customHeight="1" x14ac:dyDescent="0.25">
      <c r="B2" s="194" t="s">
        <v>626</v>
      </c>
      <c r="C2" s="188"/>
      <c r="D2" s="6">
        <f>SUM(P17:P68)</f>
        <v>0</v>
      </c>
      <c r="E2" s="7" t="s">
        <v>497</v>
      </c>
      <c r="H2" s="2"/>
      <c r="I2" s="2"/>
      <c r="J2" s="2"/>
      <c r="K2" s="2"/>
      <c r="L2" s="2"/>
      <c r="M2" s="2"/>
      <c r="N2" s="2"/>
      <c r="O2" s="2"/>
      <c r="P2" s="2"/>
      <c r="S2" s="573" t="s">
        <v>851</v>
      </c>
      <c r="T2" s="573"/>
      <c r="U2" s="573"/>
      <c r="V2" s="573"/>
      <c r="W2" s="573"/>
      <c r="X2" s="573"/>
      <c r="Y2" s="573"/>
      <c r="Z2" s="573"/>
    </row>
    <row r="3" spans="1:118" ht="23" x14ac:dyDescent="0.25">
      <c r="A3" s="114"/>
      <c r="B3" s="119" t="s">
        <v>200</v>
      </c>
      <c r="H3" s="2"/>
      <c r="I3" s="2"/>
      <c r="J3" s="2"/>
      <c r="K3" s="2"/>
      <c r="L3" s="2"/>
      <c r="M3" s="2"/>
      <c r="N3" s="2"/>
      <c r="O3" s="2"/>
      <c r="P3" s="2"/>
      <c r="R3" s="107"/>
    </row>
    <row r="4" spans="1:118" ht="15" customHeight="1" x14ac:dyDescent="0.15">
      <c r="B4" s="535" t="s">
        <v>632</v>
      </c>
      <c r="C4" s="488"/>
      <c r="D4" s="488"/>
      <c r="E4" s="488"/>
      <c r="F4" s="488"/>
      <c r="G4" s="488"/>
      <c r="H4" s="2"/>
      <c r="I4" s="2"/>
      <c r="J4" s="2"/>
      <c r="K4" s="2"/>
      <c r="L4" s="2"/>
      <c r="M4" s="2"/>
      <c r="N4" s="2"/>
      <c r="O4" s="2"/>
      <c r="P4" s="2"/>
    </row>
    <row r="5" spans="1:118" x14ac:dyDescent="0.15">
      <c r="B5" s="488"/>
      <c r="C5" s="488"/>
      <c r="D5" s="488"/>
      <c r="E5" s="488"/>
      <c r="F5" s="488"/>
      <c r="G5" s="488"/>
      <c r="H5" s="2"/>
      <c r="I5" s="2"/>
      <c r="J5" s="2"/>
      <c r="K5" s="2"/>
      <c r="L5" s="2"/>
      <c r="M5" s="2"/>
      <c r="N5" s="2"/>
      <c r="O5" s="2"/>
      <c r="P5" s="2"/>
    </row>
    <row r="6" spans="1:118" x14ac:dyDescent="0.15">
      <c r="B6" s="488"/>
      <c r="C6" s="488"/>
      <c r="D6" s="488"/>
      <c r="E6" s="488"/>
      <c r="F6" s="488"/>
      <c r="G6" s="488"/>
      <c r="H6" s="2"/>
      <c r="I6" s="2"/>
      <c r="J6" s="2"/>
      <c r="K6" s="2"/>
      <c r="L6" s="2"/>
      <c r="M6" s="2"/>
      <c r="N6" s="2"/>
      <c r="O6" s="2"/>
      <c r="P6" s="2"/>
    </row>
    <row r="7" spans="1:118" x14ac:dyDescent="0.15">
      <c r="B7" s="488"/>
      <c r="C7" s="488"/>
      <c r="D7" s="488"/>
      <c r="E7" s="488"/>
      <c r="F7" s="488"/>
      <c r="G7" s="488"/>
      <c r="H7" s="2"/>
      <c r="I7" s="2"/>
      <c r="J7" s="2"/>
      <c r="K7" s="2"/>
      <c r="L7" s="2"/>
      <c r="M7" s="2"/>
      <c r="N7" s="2"/>
      <c r="O7" s="2"/>
      <c r="P7" s="2"/>
    </row>
    <row r="8" spans="1:118" ht="38" customHeight="1" x14ac:dyDescent="0.15">
      <c r="B8" s="488"/>
      <c r="C8" s="488"/>
      <c r="D8" s="488"/>
      <c r="E8" s="488"/>
      <c r="F8" s="488"/>
      <c r="G8" s="488"/>
      <c r="H8" s="2"/>
      <c r="I8" s="2"/>
      <c r="J8" s="2"/>
      <c r="K8" s="2"/>
      <c r="L8" s="2"/>
      <c r="M8" s="2"/>
      <c r="N8" s="2"/>
      <c r="O8" s="2"/>
      <c r="P8" s="2"/>
    </row>
    <row r="9" spans="1:118" ht="38" customHeight="1" x14ac:dyDescent="0.15">
      <c r="B9" s="412" t="s">
        <v>798</v>
      </c>
      <c r="C9" s="275"/>
      <c r="D9" s="275"/>
      <c r="E9" s="383"/>
      <c r="F9" s="383"/>
      <c r="G9" s="383"/>
      <c r="H9" s="2"/>
      <c r="I9" s="2"/>
      <c r="J9" s="2"/>
      <c r="K9" s="2"/>
      <c r="L9" s="2"/>
      <c r="M9" s="2"/>
      <c r="N9" s="2"/>
      <c r="O9" s="2"/>
      <c r="P9" s="2"/>
    </row>
    <row r="10" spans="1:118" x14ac:dyDescent="0.15">
      <c r="B10" s="239" t="s">
        <v>414</v>
      </c>
      <c r="D10" s="200"/>
      <c r="E10" s="275" t="s">
        <v>403</v>
      </c>
      <c r="F10" s="383"/>
      <c r="G10" s="383"/>
      <c r="H10" s="2"/>
      <c r="I10" s="2"/>
      <c r="J10" s="2"/>
      <c r="K10" s="2"/>
      <c r="L10" s="2"/>
      <c r="M10" s="2"/>
      <c r="N10" s="2"/>
      <c r="O10" s="2"/>
      <c r="P10" s="2"/>
    </row>
    <row r="11" spans="1:118" x14ac:dyDescent="0.15">
      <c r="B11" s="201"/>
      <c r="C11" s="413" t="s">
        <v>405</v>
      </c>
      <c r="D11" s="202">
        <f>D10/2000</f>
        <v>0</v>
      </c>
      <c r="E11" s="275" t="s">
        <v>404</v>
      </c>
      <c r="F11" s="383"/>
      <c r="G11" s="383"/>
      <c r="H11" s="2"/>
      <c r="I11" s="2"/>
      <c r="J11" s="2"/>
      <c r="K11" s="2"/>
      <c r="L11" s="2"/>
      <c r="M11" s="2"/>
      <c r="N11" s="2"/>
      <c r="O11" s="2"/>
      <c r="P11" s="2"/>
    </row>
    <row r="12" spans="1:118" ht="3" customHeight="1" x14ac:dyDescent="0.15">
      <c r="B12" s="383"/>
      <c r="C12" s="383"/>
      <c r="D12" s="383"/>
      <c r="E12" s="383"/>
      <c r="F12" s="383"/>
      <c r="G12" s="383"/>
      <c r="H12" s="2"/>
      <c r="I12" s="2"/>
      <c r="J12" s="2"/>
      <c r="K12" s="2"/>
      <c r="L12" s="2"/>
      <c r="M12" s="2"/>
      <c r="N12" s="2"/>
      <c r="O12" s="2"/>
      <c r="P12" s="2"/>
    </row>
    <row r="13" spans="1:118" x14ac:dyDescent="0.15">
      <c r="H13" s="2"/>
      <c r="I13" s="2"/>
      <c r="J13" s="2"/>
      <c r="K13" s="2"/>
      <c r="L13" s="2"/>
      <c r="M13" s="2"/>
      <c r="N13" s="2"/>
      <c r="O13" s="2"/>
      <c r="P13" s="2"/>
    </row>
    <row r="14" spans="1:118" ht="18" x14ac:dyDescent="0.2">
      <c r="B14" s="572" t="s">
        <v>144</v>
      </c>
      <c r="C14" s="572"/>
      <c r="D14" s="572"/>
      <c r="E14" s="572"/>
      <c r="F14" s="572"/>
      <c r="G14" s="572"/>
      <c r="H14" s="121"/>
      <c r="I14" s="121"/>
      <c r="J14" s="2"/>
      <c r="K14" s="2"/>
      <c r="L14" s="2"/>
      <c r="M14" s="2"/>
      <c r="N14" s="2"/>
      <c r="O14" s="2"/>
      <c r="P14" s="2"/>
    </row>
    <row r="15" spans="1:118" s="21" customFormat="1" ht="120" customHeight="1" x14ac:dyDescent="0.15">
      <c r="A15" s="121"/>
      <c r="B15" s="548" t="s">
        <v>880</v>
      </c>
      <c r="C15" s="548"/>
      <c r="D15" s="548"/>
      <c r="E15" s="548"/>
      <c r="F15" s="548"/>
      <c r="G15" s="548"/>
      <c r="H15" s="121"/>
      <c r="I15" s="121"/>
      <c r="J15" s="121"/>
      <c r="K15" s="121"/>
      <c r="L15" s="121"/>
      <c r="M15" s="121"/>
      <c r="N15" s="121"/>
      <c r="O15" s="121"/>
      <c r="P15" s="121"/>
      <c r="Q15" s="121"/>
      <c r="S15" s="563" t="s">
        <v>445</v>
      </c>
      <c r="T15" s="563"/>
      <c r="U15" s="563"/>
      <c r="V15" s="563"/>
      <c r="W15" s="563"/>
      <c r="X15" s="563"/>
      <c r="Y15" s="563"/>
      <c r="Z15" s="563"/>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row>
    <row r="16" spans="1:118" s="21" customFormat="1" ht="45" x14ac:dyDescent="0.2">
      <c r="A16" s="121"/>
      <c r="B16" s="12" t="s">
        <v>365</v>
      </c>
      <c r="C16" s="11" t="s">
        <v>366</v>
      </c>
      <c r="D16" s="11" t="s">
        <v>178</v>
      </c>
      <c r="E16" s="11" t="s">
        <v>177</v>
      </c>
      <c r="F16" s="12" t="s">
        <v>709</v>
      </c>
      <c r="G16" s="12" t="s">
        <v>145</v>
      </c>
      <c r="H16" s="128" t="s">
        <v>513</v>
      </c>
      <c r="I16" s="128" t="s">
        <v>514</v>
      </c>
      <c r="J16" s="128" t="s">
        <v>515</v>
      </c>
      <c r="K16" s="128" t="s">
        <v>533</v>
      </c>
      <c r="L16" s="128" t="s">
        <v>535</v>
      </c>
      <c r="M16" s="128" t="s">
        <v>536</v>
      </c>
      <c r="N16" s="128" t="s">
        <v>540</v>
      </c>
      <c r="O16" s="128" t="s">
        <v>566</v>
      </c>
      <c r="P16" s="128" t="s">
        <v>572</v>
      </c>
      <c r="Q16" s="128" t="s">
        <v>573</v>
      </c>
      <c r="R16" s="121"/>
      <c r="S16" s="141" t="s">
        <v>209</v>
      </c>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row>
    <row r="17" spans="1:118" s="21" customFormat="1" ht="13" x14ac:dyDescent="0.15">
      <c r="A17" s="121"/>
      <c r="B17" s="397"/>
      <c r="C17" s="397"/>
      <c r="D17" s="391"/>
      <c r="E17" s="403"/>
      <c r="F17" s="391"/>
      <c r="G17" s="404"/>
      <c r="H17" s="133" t="e">
        <f>IF(D17="vehicle-mile",VLOOKUP(E17,'Emissions Factors'!$B$211:$F$213,3,FALSE),VLOOKUP(E17,'Emissions Factors'!$B$214:$F$217,3,FALSE))</f>
        <v>#N/A</v>
      </c>
      <c r="I17" s="133" t="e">
        <f>IF(D17="vehicle-mile",VLOOKUP(E17,'Emissions Factors'!$B$211:$F$213,4,FALSE),VLOOKUP(E17,'Emissions Factors'!$B$214:$F$217,4,FALSE))</f>
        <v>#N/A</v>
      </c>
      <c r="J17" s="133" t="e">
        <f>IF(D17="vehicle-mile",VLOOKUP(E17,'Emissions Factors'!$B$211:$F$213,5,FALSE),VLOOKUP(E17,'Emissions Factors'!$B$214:$F$217,5,FALSE))</f>
        <v>#N/A</v>
      </c>
      <c r="K17" s="134">
        <f>'Emissions Factors'!$C$75</f>
        <v>28</v>
      </c>
      <c r="L17" s="134">
        <f>'Emissions Factors'!$C$76</f>
        <v>265</v>
      </c>
      <c r="M17" s="136" t="e">
        <f t="shared" ref="M17:M48" si="0">IF(D17="ton-mile",(F17*G17*H17)/1000,(F17*H17)/1000)</f>
        <v>#N/A</v>
      </c>
      <c r="N17" s="136" t="e">
        <f t="shared" ref="N17:N48" si="1">IF(D17="ton-mile",F17*G17*I17/1000000,F17*I17/1000000)</f>
        <v>#N/A</v>
      </c>
      <c r="O17" s="136" t="e">
        <f t="shared" ref="O17:O48" si="2">IF(D17="ton-mile",F17*G17*J17/1000000,F17*J17/1000000)</f>
        <v>#N/A</v>
      </c>
      <c r="P17" s="132" t="str">
        <f t="shared" ref="P17:P48" si="3">IFERROR(M17+N17*K17+O17*L17,"")</f>
        <v/>
      </c>
      <c r="Q17" s="418" t="str">
        <f>P17</f>
        <v/>
      </c>
      <c r="R17" s="121"/>
      <c r="S17" s="299" t="s">
        <v>202</v>
      </c>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row>
    <row r="18" spans="1:118" s="21" customFormat="1" ht="13" x14ac:dyDescent="0.15">
      <c r="A18" s="121"/>
      <c r="B18" s="397"/>
      <c r="C18" s="397"/>
      <c r="D18" s="391"/>
      <c r="E18" s="403"/>
      <c r="F18" s="391"/>
      <c r="G18" s="404"/>
      <c r="H18" s="133" t="e">
        <f>IF(D18="vehicle-mile",VLOOKUP(E18,'Emissions Factors'!$B$211:$F$213,3,FALSE),VLOOKUP(E18,'Emissions Factors'!$B$214:$F$217,3,FALSE))</f>
        <v>#N/A</v>
      </c>
      <c r="I18" s="133" t="e">
        <f>IF(D18="vehicle-mile",VLOOKUP(E18,'Emissions Factors'!$B$211:$F$213,4,FALSE),VLOOKUP(E18,'Emissions Factors'!$B$214:$F$217,4,FALSE))</f>
        <v>#N/A</v>
      </c>
      <c r="J18" s="133" t="e">
        <f>IF(D18="vehicle-mile",VLOOKUP(E18,'Emissions Factors'!$B$211:$F$213,5,FALSE),VLOOKUP(E18,'Emissions Factors'!$B$214:$F$217,5,FALSE))</f>
        <v>#N/A</v>
      </c>
      <c r="K18" s="134">
        <f>'Emissions Factors'!$C$75</f>
        <v>28</v>
      </c>
      <c r="L18" s="134">
        <f>'Emissions Factors'!$C$76</f>
        <v>265</v>
      </c>
      <c r="M18" s="136" t="e">
        <f t="shared" si="0"/>
        <v>#N/A</v>
      </c>
      <c r="N18" s="136" t="e">
        <f t="shared" si="1"/>
        <v>#N/A</v>
      </c>
      <c r="O18" s="136" t="e">
        <f t="shared" si="2"/>
        <v>#N/A</v>
      </c>
      <c r="P18" s="132" t="str">
        <f t="shared" si="3"/>
        <v/>
      </c>
      <c r="Q18" s="418" t="str">
        <f t="shared" ref="Q18:Q68" si="4">P18</f>
        <v/>
      </c>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row>
    <row r="19" spans="1:118" s="21" customFormat="1" ht="13" x14ac:dyDescent="0.15">
      <c r="A19" s="121"/>
      <c r="B19" s="397"/>
      <c r="C19" s="397"/>
      <c r="D19" s="391"/>
      <c r="E19" s="403"/>
      <c r="F19" s="391"/>
      <c r="G19" s="404"/>
      <c r="H19" s="133" t="e">
        <f>IF(D19="vehicle-mile",VLOOKUP(E19,'Emissions Factors'!$B$211:$F$213,3,FALSE),VLOOKUP(E19,'Emissions Factors'!$B$214:$F$217,3,FALSE))</f>
        <v>#N/A</v>
      </c>
      <c r="I19" s="133" t="e">
        <f>IF(D19="vehicle-mile",VLOOKUP(E19,'Emissions Factors'!$B$211:$F$213,4,FALSE),VLOOKUP(E19,'Emissions Factors'!$B$214:$F$217,4,FALSE))</f>
        <v>#N/A</v>
      </c>
      <c r="J19" s="133" t="e">
        <f>IF(D19="vehicle-mile",VLOOKUP(E19,'Emissions Factors'!$B$211:$F$213,5,FALSE),VLOOKUP(E19,'Emissions Factors'!$B$214:$F$217,5,FALSE))</f>
        <v>#N/A</v>
      </c>
      <c r="K19" s="134">
        <f>'Emissions Factors'!$C$75</f>
        <v>28</v>
      </c>
      <c r="L19" s="134">
        <f>'Emissions Factors'!$C$76</f>
        <v>265</v>
      </c>
      <c r="M19" s="136" t="e">
        <f t="shared" si="0"/>
        <v>#N/A</v>
      </c>
      <c r="N19" s="136" t="e">
        <f t="shared" si="1"/>
        <v>#N/A</v>
      </c>
      <c r="O19" s="136" t="e">
        <f t="shared" si="2"/>
        <v>#N/A</v>
      </c>
      <c r="P19" s="132" t="str">
        <f t="shared" si="3"/>
        <v/>
      </c>
      <c r="Q19" s="418" t="str">
        <f t="shared" si="4"/>
        <v/>
      </c>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row>
    <row r="20" spans="1:118" s="21" customFormat="1" ht="13" x14ac:dyDescent="0.15">
      <c r="A20" s="121"/>
      <c r="B20" s="397"/>
      <c r="C20" s="397"/>
      <c r="D20" s="391"/>
      <c r="E20" s="403"/>
      <c r="F20" s="391"/>
      <c r="G20" s="404"/>
      <c r="H20" s="133" t="e">
        <f>IF(D20="vehicle-mile",VLOOKUP(E20,'Emissions Factors'!$B$211:$F$213,3,FALSE),VLOOKUP(E20,'Emissions Factors'!$B$214:$F$217,3,FALSE))</f>
        <v>#N/A</v>
      </c>
      <c r="I20" s="133" t="e">
        <f>IF(D20="vehicle-mile",VLOOKUP(E20,'Emissions Factors'!$B$211:$F$213,4,FALSE),VLOOKUP(E20,'Emissions Factors'!$B$214:$F$217,4,FALSE))</f>
        <v>#N/A</v>
      </c>
      <c r="J20" s="133" t="e">
        <f>IF(D20="vehicle-mile",VLOOKUP(E20,'Emissions Factors'!$B$211:$F$213,5,FALSE),VLOOKUP(E20,'Emissions Factors'!$B$214:$F$217,5,FALSE))</f>
        <v>#N/A</v>
      </c>
      <c r="K20" s="134">
        <f>'Emissions Factors'!$C$75</f>
        <v>28</v>
      </c>
      <c r="L20" s="134">
        <f>'Emissions Factors'!$C$76</f>
        <v>265</v>
      </c>
      <c r="M20" s="136" t="e">
        <f t="shared" si="0"/>
        <v>#N/A</v>
      </c>
      <c r="N20" s="136" t="e">
        <f t="shared" si="1"/>
        <v>#N/A</v>
      </c>
      <c r="O20" s="136" t="e">
        <f t="shared" si="2"/>
        <v>#N/A</v>
      </c>
      <c r="P20" s="132" t="str">
        <f t="shared" si="3"/>
        <v/>
      </c>
      <c r="Q20" s="418" t="str">
        <f t="shared" si="4"/>
        <v/>
      </c>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row>
    <row r="21" spans="1:118" s="21" customFormat="1" ht="13" x14ac:dyDescent="0.15">
      <c r="A21" s="121"/>
      <c r="B21" s="397"/>
      <c r="C21" s="397"/>
      <c r="D21" s="391"/>
      <c r="E21" s="403"/>
      <c r="F21" s="391"/>
      <c r="G21" s="404"/>
      <c r="H21" s="133" t="e">
        <f>IF(D21="vehicle-mile",VLOOKUP(E21,'Emissions Factors'!$B$211:$F$213,3,FALSE),VLOOKUP(E21,'Emissions Factors'!$B$214:$F$217,3,FALSE))</f>
        <v>#N/A</v>
      </c>
      <c r="I21" s="133" t="e">
        <f>IF(D21="vehicle-mile",VLOOKUP(E21,'Emissions Factors'!$B$211:$F$213,4,FALSE),VLOOKUP(E21,'Emissions Factors'!$B$214:$F$217,4,FALSE))</f>
        <v>#N/A</v>
      </c>
      <c r="J21" s="133" t="e">
        <f>IF(D21="vehicle-mile",VLOOKUP(E21,'Emissions Factors'!$B$211:$F$213,5,FALSE),VLOOKUP(E21,'Emissions Factors'!$B$214:$F$217,5,FALSE))</f>
        <v>#N/A</v>
      </c>
      <c r="K21" s="134">
        <f>'Emissions Factors'!$C$75</f>
        <v>28</v>
      </c>
      <c r="L21" s="134">
        <f>'Emissions Factors'!$C$76</f>
        <v>265</v>
      </c>
      <c r="M21" s="136" t="e">
        <f t="shared" si="0"/>
        <v>#N/A</v>
      </c>
      <c r="N21" s="136" t="e">
        <f t="shared" si="1"/>
        <v>#N/A</v>
      </c>
      <c r="O21" s="136" t="e">
        <f t="shared" si="2"/>
        <v>#N/A</v>
      </c>
      <c r="P21" s="132" t="str">
        <f t="shared" si="3"/>
        <v/>
      </c>
      <c r="Q21" s="418" t="str">
        <f t="shared" si="4"/>
        <v/>
      </c>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row>
    <row r="22" spans="1:118" s="21" customFormat="1" ht="13" x14ac:dyDescent="0.15">
      <c r="A22" s="121"/>
      <c r="B22" s="397"/>
      <c r="C22" s="397"/>
      <c r="D22" s="391"/>
      <c r="E22" s="403"/>
      <c r="F22" s="391"/>
      <c r="G22" s="404"/>
      <c r="H22" s="133" t="e">
        <f>IF(D22="vehicle-mile",VLOOKUP(E22,'Emissions Factors'!$B$211:$F$213,3,FALSE),VLOOKUP(E22,'Emissions Factors'!$B$214:$F$217,3,FALSE))</f>
        <v>#N/A</v>
      </c>
      <c r="I22" s="133" t="e">
        <f>IF(D22="vehicle-mile",VLOOKUP(E22,'Emissions Factors'!$B$211:$F$213,4,FALSE),VLOOKUP(E22,'Emissions Factors'!$B$214:$F$217,4,FALSE))</f>
        <v>#N/A</v>
      </c>
      <c r="J22" s="133" t="e">
        <f>IF(D22="vehicle-mile",VLOOKUP(E22,'Emissions Factors'!$B$211:$F$213,5,FALSE),VLOOKUP(E22,'Emissions Factors'!$B$214:$F$217,5,FALSE))</f>
        <v>#N/A</v>
      </c>
      <c r="K22" s="134">
        <f>'Emissions Factors'!$C$75</f>
        <v>28</v>
      </c>
      <c r="L22" s="134">
        <f>'Emissions Factors'!$C$76</f>
        <v>265</v>
      </c>
      <c r="M22" s="136" t="e">
        <f t="shared" si="0"/>
        <v>#N/A</v>
      </c>
      <c r="N22" s="136" t="e">
        <f t="shared" si="1"/>
        <v>#N/A</v>
      </c>
      <c r="O22" s="136" t="e">
        <f t="shared" si="2"/>
        <v>#N/A</v>
      </c>
      <c r="P22" s="132" t="str">
        <f t="shared" si="3"/>
        <v/>
      </c>
      <c r="Q22" s="418" t="str">
        <f t="shared" si="4"/>
        <v/>
      </c>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row>
    <row r="23" spans="1:118" s="21" customFormat="1" ht="13" x14ac:dyDescent="0.15">
      <c r="A23" s="121"/>
      <c r="B23" s="397"/>
      <c r="C23" s="397"/>
      <c r="D23" s="391"/>
      <c r="E23" s="403"/>
      <c r="F23" s="391"/>
      <c r="G23" s="404"/>
      <c r="H23" s="133" t="e">
        <f>IF(D23="vehicle-mile",VLOOKUP(E23,'Emissions Factors'!$B$211:$F$213,3,FALSE),VLOOKUP(E23,'Emissions Factors'!$B$214:$F$217,3,FALSE))</f>
        <v>#N/A</v>
      </c>
      <c r="I23" s="133" t="e">
        <f>IF(D23="vehicle-mile",VLOOKUP(E23,'Emissions Factors'!$B$211:$F$213,4,FALSE),VLOOKUP(E23,'Emissions Factors'!$B$214:$F$217,4,FALSE))</f>
        <v>#N/A</v>
      </c>
      <c r="J23" s="133" t="e">
        <f>IF(D23="vehicle-mile",VLOOKUP(E23,'Emissions Factors'!$B$211:$F$213,5,FALSE),VLOOKUP(E23,'Emissions Factors'!$B$214:$F$217,5,FALSE))</f>
        <v>#N/A</v>
      </c>
      <c r="K23" s="134">
        <f>'Emissions Factors'!$C$75</f>
        <v>28</v>
      </c>
      <c r="L23" s="134">
        <f>'Emissions Factors'!$C$76</f>
        <v>265</v>
      </c>
      <c r="M23" s="136" t="e">
        <f t="shared" si="0"/>
        <v>#N/A</v>
      </c>
      <c r="N23" s="136" t="e">
        <f t="shared" si="1"/>
        <v>#N/A</v>
      </c>
      <c r="O23" s="136" t="e">
        <f t="shared" si="2"/>
        <v>#N/A</v>
      </c>
      <c r="P23" s="132" t="str">
        <f t="shared" si="3"/>
        <v/>
      </c>
      <c r="Q23" s="418" t="str">
        <f t="shared" si="4"/>
        <v/>
      </c>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row>
    <row r="24" spans="1:118" s="21" customFormat="1" ht="13" x14ac:dyDescent="0.15">
      <c r="A24" s="121"/>
      <c r="B24" s="397"/>
      <c r="C24" s="397"/>
      <c r="D24" s="391"/>
      <c r="E24" s="403"/>
      <c r="F24" s="391"/>
      <c r="G24" s="404"/>
      <c r="H24" s="133" t="e">
        <f>IF(D24="vehicle-mile",VLOOKUP(E24,'Emissions Factors'!$B$211:$F$213,3,FALSE),VLOOKUP(E24,'Emissions Factors'!$B$214:$F$217,3,FALSE))</f>
        <v>#N/A</v>
      </c>
      <c r="I24" s="133" t="e">
        <f>IF(D24="vehicle-mile",VLOOKUP(E24,'Emissions Factors'!$B$211:$F$213,4,FALSE),VLOOKUP(E24,'Emissions Factors'!$B$214:$F$217,4,FALSE))</f>
        <v>#N/A</v>
      </c>
      <c r="J24" s="133" t="e">
        <f>IF(D24="vehicle-mile",VLOOKUP(E24,'Emissions Factors'!$B$211:$F$213,5,FALSE),VLOOKUP(E24,'Emissions Factors'!$B$214:$F$217,5,FALSE))</f>
        <v>#N/A</v>
      </c>
      <c r="K24" s="134">
        <f>'Emissions Factors'!$C$75</f>
        <v>28</v>
      </c>
      <c r="L24" s="134">
        <f>'Emissions Factors'!$C$76</f>
        <v>265</v>
      </c>
      <c r="M24" s="136" t="e">
        <f t="shared" si="0"/>
        <v>#N/A</v>
      </c>
      <c r="N24" s="136" t="e">
        <f t="shared" si="1"/>
        <v>#N/A</v>
      </c>
      <c r="O24" s="136" t="e">
        <f t="shared" si="2"/>
        <v>#N/A</v>
      </c>
      <c r="P24" s="132" t="str">
        <f t="shared" si="3"/>
        <v/>
      </c>
      <c r="Q24" s="418" t="str">
        <f t="shared" si="4"/>
        <v/>
      </c>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row>
    <row r="25" spans="1:118" s="21" customFormat="1" ht="13" x14ac:dyDescent="0.15">
      <c r="A25" s="121"/>
      <c r="B25" s="397"/>
      <c r="C25" s="397"/>
      <c r="D25" s="391"/>
      <c r="E25" s="403"/>
      <c r="F25" s="391"/>
      <c r="G25" s="404"/>
      <c r="H25" s="133" t="e">
        <f>IF(D25="vehicle-mile",VLOOKUP(E25,'Emissions Factors'!$B$211:$F$213,3,FALSE),VLOOKUP(E25,'Emissions Factors'!$B$214:$F$217,3,FALSE))</f>
        <v>#N/A</v>
      </c>
      <c r="I25" s="133" t="e">
        <f>IF(D25="vehicle-mile",VLOOKUP(E25,'Emissions Factors'!$B$211:$F$213,4,FALSE),VLOOKUP(E25,'Emissions Factors'!$B$214:$F$217,4,FALSE))</f>
        <v>#N/A</v>
      </c>
      <c r="J25" s="133" t="e">
        <f>IF(D25="vehicle-mile",VLOOKUP(E25,'Emissions Factors'!$B$211:$F$213,5,FALSE),VLOOKUP(E25,'Emissions Factors'!$B$214:$F$217,5,FALSE))</f>
        <v>#N/A</v>
      </c>
      <c r="K25" s="134">
        <f>'Emissions Factors'!$C$75</f>
        <v>28</v>
      </c>
      <c r="L25" s="134">
        <f>'Emissions Factors'!$C$76</f>
        <v>265</v>
      </c>
      <c r="M25" s="136" t="e">
        <f t="shared" si="0"/>
        <v>#N/A</v>
      </c>
      <c r="N25" s="136" t="e">
        <f t="shared" si="1"/>
        <v>#N/A</v>
      </c>
      <c r="O25" s="136" t="e">
        <f t="shared" si="2"/>
        <v>#N/A</v>
      </c>
      <c r="P25" s="132" t="str">
        <f t="shared" si="3"/>
        <v/>
      </c>
      <c r="Q25" s="418" t="str">
        <f t="shared" si="4"/>
        <v/>
      </c>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row>
    <row r="26" spans="1:118" s="21" customFormat="1" ht="13" x14ac:dyDescent="0.15">
      <c r="A26" s="121"/>
      <c r="B26" s="397"/>
      <c r="C26" s="397"/>
      <c r="D26" s="391"/>
      <c r="E26" s="403"/>
      <c r="F26" s="391"/>
      <c r="G26" s="404"/>
      <c r="H26" s="133" t="e">
        <f>IF(D26="vehicle-mile",VLOOKUP(E26,'Emissions Factors'!$B$211:$F$213,3,FALSE),VLOOKUP(E26,'Emissions Factors'!$B$214:$F$217,3,FALSE))</f>
        <v>#N/A</v>
      </c>
      <c r="I26" s="133" t="e">
        <f>IF(D26="vehicle-mile",VLOOKUP(E26,'Emissions Factors'!$B$211:$F$213,4,FALSE),VLOOKUP(E26,'Emissions Factors'!$B$214:$F$217,4,FALSE))</f>
        <v>#N/A</v>
      </c>
      <c r="J26" s="133" t="e">
        <f>IF(D26="vehicle-mile",VLOOKUP(E26,'Emissions Factors'!$B$211:$F$213,5,FALSE),VLOOKUP(E26,'Emissions Factors'!$B$214:$F$217,5,FALSE))</f>
        <v>#N/A</v>
      </c>
      <c r="K26" s="134">
        <f>'Emissions Factors'!$C$75</f>
        <v>28</v>
      </c>
      <c r="L26" s="134">
        <f>'Emissions Factors'!$C$76</f>
        <v>265</v>
      </c>
      <c r="M26" s="136" t="e">
        <f t="shared" si="0"/>
        <v>#N/A</v>
      </c>
      <c r="N26" s="136" t="e">
        <f t="shared" si="1"/>
        <v>#N/A</v>
      </c>
      <c r="O26" s="136" t="e">
        <f t="shared" si="2"/>
        <v>#N/A</v>
      </c>
      <c r="P26" s="132" t="str">
        <f t="shared" si="3"/>
        <v/>
      </c>
      <c r="Q26" s="418" t="str">
        <f t="shared" si="4"/>
        <v/>
      </c>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row>
    <row r="27" spans="1:118" s="21" customFormat="1" ht="13" hidden="1" outlineLevel="1" x14ac:dyDescent="0.15">
      <c r="A27" s="121"/>
      <c r="B27" s="397"/>
      <c r="C27" s="397"/>
      <c r="D27" s="391"/>
      <c r="E27" s="403"/>
      <c r="F27" s="391"/>
      <c r="G27" s="404"/>
      <c r="H27" s="133" t="e">
        <f>IF(D27="vehicle-mile",VLOOKUP(E27,'Emissions Factors'!$B$211:$F$213,3,FALSE),VLOOKUP(E27,'Emissions Factors'!$B$214:$F$217,3,FALSE))</f>
        <v>#N/A</v>
      </c>
      <c r="I27" s="133" t="e">
        <f>IF(D27="vehicle-mile",VLOOKUP(E27,'Emissions Factors'!$B$211:$F$213,4,FALSE),VLOOKUP(E27,'Emissions Factors'!$B$214:$F$217,4,FALSE))</f>
        <v>#N/A</v>
      </c>
      <c r="J27" s="133" t="e">
        <f>IF(D27="vehicle-mile",VLOOKUP(E27,'Emissions Factors'!$B$211:$F$213,5,FALSE),VLOOKUP(E27,'Emissions Factors'!$B$214:$F$217,5,FALSE))</f>
        <v>#N/A</v>
      </c>
      <c r="K27" s="134">
        <f>'Emissions Factors'!$C$75</f>
        <v>28</v>
      </c>
      <c r="L27" s="134">
        <f>'Emissions Factors'!$C$76</f>
        <v>265</v>
      </c>
      <c r="M27" s="136" t="e">
        <f t="shared" si="0"/>
        <v>#N/A</v>
      </c>
      <c r="N27" s="136" t="e">
        <f t="shared" si="1"/>
        <v>#N/A</v>
      </c>
      <c r="O27" s="136" t="e">
        <f t="shared" si="2"/>
        <v>#N/A</v>
      </c>
      <c r="P27" s="132" t="str">
        <f t="shared" si="3"/>
        <v/>
      </c>
      <c r="Q27" s="418" t="str">
        <f t="shared" si="4"/>
        <v/>
      </c>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row>
    <row r="28" spans="1:118" s="21" customFormat="1" ht="13" hidden="1" outlineLevel="1" x14ac:dyDescent="0.15">
      <c r="A28" s="121"/>
      <c r="B28" s="397"/>
      <c r="C28" s="397"/>
      <c r="D28" s="391"/>
      <c r="E28" s="403"/>
      <c r="F28" s="391"/>
      <c r="G28" s="404"/>
      <c r="H28" s="133" t="e">
        <f>IF(D28="vehicle-mile",VLOOKUP(E28,'Emissions Factors'!$B$211:$F$213,3,FALSE),VLOOKUP(E28,'Emissions Factors'!$B$214:$F$217,3,FALSE))</f>
        <v>#N/A</v>
      </c>
      <c r="I28" s="133" t="e">
        <f>IF(D28="vehicle-mile",VLOOKUP(E28,'Emissions Factors'!$B$211:$F$213,4,FALSE),VLOOKUP(E28,'Emissions Factors'!$B$214:$F$217,4,FALSE))</f>
        <v>#N/A</v>
      </c>
      <c r="J28" s="133" t="e">
        <f>IF(D28="vehicle-mile",VLOOKUP(E28,'Emissions Factors'!$B$211:$F$213,5,FALSE),VLOOKUP(E28,'Emissions Factors'!$B$214:$F$217,5,FALSE))</f>
        <v>#N/A</v>
      </c>
      <c r="K28" s="134">
        <f>'Emissions Factors'!$C$75</f>
        <v>28</v>
      </c>
      <c r="L28" s="134">
        <f>'Emissions Factors'!$C$76</f>
        <v>265</v>
      </c>
      <c r="M28" s="136" t="e">
        <f t="shared" si="0"/>
        <v>#N/A</v>
      </c>
      <c r="N28" s="136" t="e">
        <f t="shared" si="1"/>
        <v>#N/A</v>
      </c>
      <c r="O28" s="136" t="e">
        <f t="shared" si="2"/>
        <v>#N/A</v>
      </c>
      <c r="P28" s="132" t="str">
        <f t="shared" si="3"/>
        <v/>
      </c>
      <c r="Q28" s="418" t="str">
        <f t="shared" si="4"/>
        <v/>
      </c>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row>
    <row r="29" spans="1:118" s="21" customFormat="1" ht="13" hidden="1" outlineLevel="1" x14ac:dyDescent="0.15">
      <c r="A29" s="121"/>
      <c r="B29" s="397"/>
      <c r="C29" s="397"/>
      <c r="D29" s="391"/>
      <c r="E29" s="403"/>
      <c r="F29" s="391"/>
      <c r="G29" s="404"/>
      <c r="H29" s="133" t="e">
        <f>IF(D29="vehicle-mile",VLOOKUP(E29,'Emissions Factors'!$B$211:$F$213,3,FALSE),VLOOKUP(E29,'Emissions Factors'!$B$214:$F$217,3,FALSE))</f>
        <v>#N/A</v>
      </c>
      <c r="I29" s="133" t="e">
        <f>IF(D29="vehicle-mile",VLOOKUP(E29,'Emissions Factors'!$B$211:$F$213,4,FALSE),VLOOKUP(E29,'Emissions Factors'!$B$214:$F$217,4,FALSE))</f>
        <v>#N/A</v>
      </c>
      <c r="J29" s="133" t="e">
        <f>IF(D29="vehicle-mile",VLOOKUP(E29,'Emissions Factors'!$B$211:$F$213,5,FALSE),VLOOKUP(E29,'Emissions Factors'!$B$214:$F$217,5,FALSE))</f>
        <v>#N/A</v>
      </c>
      <c r="K29" s="134">
        <f>'Emissions Factors'!$C$75</f>
        <v>28</v>
      </c>
      <c r="L29" s="134">
        <f>'Emissions Factors'!$C$76</f>
        <v>265</v>
      </c>
      <c r="M29" s="136" t="e">
        <f t="shared" si="0"/>
        <v>#N/A</v>
      </c>
      <c r="N29" s="136" t="e">
        <f t="shared" si="1"/>
        <v>#N/A</v>
      </c>
      <c r="O29" s="136" t="e">
        <f t="shared" si="2"/>
        <v>#N/A</v>
      </c>
      <c r="P29" s="132" t="str">
        <f t="shared" si="3"/>
        <v/>
      </c>
      <c r="Q29" s="418" t="str">
        <f t="shared" si="4"/>
        <v/>
      </c>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row>
    <row r="30" spans="1:118" s="21" customFormat="1" ht="13" hidden="1" outlineLevel="1" x14ac:dyDescent="0.15">
      <c r="A30" s="121"/>
      <c r="B30" s="397"/>
      <c r="C30" s="397"/>
      <c r="D30" s="391"/>
      <c r="E30" s="403"/>
      <c r="F30" s="391"/>
      <c r="G30" s="404"/>
      <c r="H30" s="133" t="e">
        <f>IF(D30="vehicle-mile",VLOOKUP(E30,'Emissions Factors'!$B$211:$F$213,3,FALSE),VLOOKUP(E30,'Emissions Factors'!$B$214:$F$217,3,FALSE))</f>
        <v>#N/A</v>
      </c>
      <c r="I30" s="133" t="e">
        <f>IF(D30="vehicle-mile",VLOOKUP(E30,'Emissions Factors'!$B$211:$F$213,4,FALSE),VLOOKUP(E30,'Emissions Factors'!$B$214:$F$217,4,FALSE))</f>
        <v>#N/A</v>
      </c>
      <c r="J30" s="133" t="e">
        <f>IF(D30="vehicle-mile",VLOOKUP(E30,'Emissions Factors'!$B$211:$F$213,5,FALSE),VLOOKUP(E30,'Emissions Factors'!$B$214:$F$217,5,FALSE))</f>
        <v>#N/A</v>
      </c>
      <c r="K30" s="134">
        <f>'Emissions Factors'!$C$75</f>
        <v>28</v>
      </c>
      <c r="L30" s="134">
        <f>'Emissions Factors'!$C$76</f>
        <v>265</v>
      </c>
      <c r="M30" s="136" t="e">
        <f t="shared" si="0"/>
        <v>#N/A</v>
      </c>
      <c r="N30" s="136" t="e">
        <f t="shared" si="1"/>
        <v>#N/A</v>
      </c>
      <c r="O30" s="136" t="e">
        <f t="shared" si="2"/>
        <v>#N/A</v>
      </c>
      <c r="P30" s="132" t="str">
        <f t="shared" si="3"/>
        <v/>
      </c>
      <c r="Q30" s="418" t="str">
        <f t="shared" si="4"/>
        <v/>
      </c>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c r="DI30" s="121"/>
      <c r="DJ30" s="121"/>
      <c r="DK30" s="121"/>
      <c r="DL30" s="121"/>
      <c r="DM30" s="121"/>
      <c r="DN30" s="121"/>
    </row>
    <row r="31" spans="1:118" s="21" customFormat="1" ht="13" hidden="1" outlineLevel="1" x14ac:dyDescent="0.15">
      <c r="A31" s="121"/>
      <c r="B31" s="397"/>
      <c r="C31" s="397"/>
      <c r="D31" s="391"/>
      <c r="E31" s="403"/>
      <c r="F31" s="391"/>
      <c r="G31" s="404"/>
      <c r="H31" s="133" t="e">
        <f>IF(D31="vehicle-mile",VLOOKUP(E31,'Emissions Factors'!$B$211:$F$213,3,FALSE),VLOOKUP(E31,'Emissions Factors'!$B$214:$F$217,3,FALSE))</f>
        <v>#N/A</v>
      </c>
      <c r="I31" s="133" t="e">
        <f>IF(D31="vehicle-mile",VLOOKUP(E31,'Emissions Factors'!$B$211:$F$213,4,FALSE),VLOOKUP(E31,'Emissions Factors'!$B$214:$F$217,4,FALSE))</f>
        <v>#N/A</v>
      </c>
      <c r="J31" s="133" t="e">
        <f>IF(D31="vehicle-mile",VLOOKUP(E31,'Emissions Factors'!$B$211:$F$213,5,FALSE),VLOOKUP(E31,'Emissions Factors'!$B$214:$F$217,5,FALSE))</f>
        <v>#N/A</v>
      </c>
      <c r="K31" s="134">
        <f>'Emissions Factors'!$C$75</f>
        <v>28</v>
      </c>
      <c r="L31" s="134">
        <f>'Emissions Factors'!$C$76</f>
        <v>265</v>
      </c>
      <c r="M31" s="136" t="e">
        <f t="shared" si="0"/>
        <v>#N/A</v>
      </c>
      <c r="N31" s="136" t="e">
        <f t="shared" si="1"/>
        <v>#N/A</v>
      </c>
      <c r="O31" s="136" t="e">
        <f t="shared" si="2"/>
        <v>#N/A</v>
      </c>
      <c r="P31" s="132" t="str">
        <f t="shared" si="3"/>
        <v/>
      </c>
      <c r="Q31" s="418" t="str">
        <f t="shared" si="4"/>
        <v/>
      </c>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row>
    <row r="32" spans="1:118" s="21" customFormat="1" ht="13" hidden="1" outlineLevel="1" x14ac:dyDescent="0.15">
      <c r="A32" s="121"/>
      <c r="B32" s="397"/>
      <c r="C32" s="397"/>
      <c r="D32" s="391"/>
      <c r="E32" s="403"/>
      <c r="F32" s="391"/>
      <c r="G32" s="404"/>
      <c r="H32" s="133" t="e">
        <f>IF(D32="vehicle-mile",VLOOKUP(E32,'Emissions Factors'!$B$211:$F$213,3,FALSE),VLOOKUP(E32,'Emissions Factors'!$B$214:$F$217,3,FALSE))</f>
        <v>#N/A</v>
      </c>
      <c r="I32" s="133" t="e">
        <f>IF(D32="vehicle-mile",VLOOKUP(E32,'Emissions Factors'!$B$211:$F$213,4,FALSE),VLOOKUP(E32,'Emissions Factors'!$B$214:$F$217,4,FALSE))</f>
        <v>#N/A</v>
      </c>
      <c r="J32" s="133" t="e">
        <f>IF(D32="vehicle-mile",VLOOKUP(E32,'Emissions Factors'!$B$211:$F$213,5,FALSE),VLOOKUP(E32,'Emissions Factors'!$B$214:$F$217,5,FALSE))</f>
        <v>#N/A</v>
      </c>
      <c r="K32" s="134">
        <f>'Emissions Factors'!$C$75</f>
        <v>28</v>
      </c>
      <c r="L32" s="134">
        <f>'Emissions Factors'!$C$76</f>
        <v>265</v>
      </c>
      <c r="M32" s="136" t="e">
        <f t="shared" si="0"/>
        <v>#N/A</v>
      </c>
      <c r="N32" s="136" t="e">
        <f t="shared" si="1"/>
        <v>#N/A</v>
      </c>
      <c r="O32" s="136" t="e">
        <f t="shared" si="2"/>
        <v>#N/A</v>
      </c>
      <c r="P32" s="132" t="str">
        <f t="shared" si="3"/>
        <v/>
      </c>
      <c r="Q32" s="418" t="str">
        <f t="shared" si="4"/>
        <v/>
      </c>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row>
    <row r="33" spans="1:118" s="21" customFormat="1" ht="13" hidden="1" outlineLevel="1" x14ac:dyDescent="0.15">
      <c r="A33" s="121"/>
      <c r="B33" s="397"/>
      <c r="C33" s="397"/>
      <c r="D33" s="391"/>
      <c r="E33" s="403"/>
      <c r="F33" s="391"/>
      <c r="G33" s="404"/>
      <c r="H33" s="133" t="e">
        <f>IF(D33="vehicle-mile",VLOOKUP(E33,'Emissions Factors'!$B$211:$F$213,3,FALSE),VLOOKUP(E33,'Emissions Factors'!$B$214:$F$217,3,FALSE))</f>
        <v>#N/A</v>
      </c>
      <c r="I33" s="133" t="e">
        <f>IF(D33="vehicle-mile",VLOOKUP(E33,'Emissions Factors'!$B$211:$F$213,4,FALSE),VLOOKUP(E33,'Emissions Factors'!$B$214:$F$217,4,FALSE))</f>
        <v>#N/A</v>
      </c>
      <c r="J33" s="133" t="e">
        <f>IF(D33="vehicle-mile",VLOOKUP(E33,'Emissions Factors'!$B$211:$F$213,5,FALSE),VLOOKUP(E33,'Emissions Factors'!$B$214:$F$217,5,FALSE))</f>
        <v>#N/A</v>
      </c>
      <c r="K33" s="134">
        <f>'Emissions Factors'!$C$75</f>
        <v>28</v>
      </c>
      <c r="L33" s="134">
        <f>'Emissions Factors'!$C$76</f>
        <v>265</v>
      </c>
      <c r="M33" s="136" t="e">
        <f t="shared" si="0"/>
        <v>#N/A</v>
      </c>
      <c r="N33" s="136" t="e">
        <f t="shared" si="1"/>
        <v>#N/A</v>
      </c>
      <c r="O33" s="136" t="e">
        <f t="shared" si="2"/>
        <v>#N/A</v>
      </c>
      <c r="P33" s="132" t="str">
        <f t="shared" si="3"/>
        <v/>
      </c>
      <c r="Q33" s="418" t="str">
        <f t="shared" si="4"/>
        <v/>
      </c>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c r="DL33" s="121"/>
      <c r="DM33" s="121"/>
      <c r="DN33" s="121"/>
    </row>
    <row r="34" spans="1:118" s="21" customFormat="1" ht="13" hidden="1" outlineLevel="1" x14ac:dyDescent="0.15">
      <c r="A34" s="121"/>
      <c r="B34" s="397"/>
      <c r="C34" s="397"/>
      <c r="D34" s="391"/>
      <c r="E34" s="403"/>
      <c r="F34" s="391"/>
      <c r="G34" s="404"/>
      <c r="H34" s="133" t="e">
        <f>IF(D34="vehicle-mile",VLOOKUP(E34,'Emissions Factors'!$B$211:$F$213,3,FALSE),VLOOKUP(E34,'Emissions Factors'!$B$214:$F$217,3,FALSE))</f>
        <v>#N/A</v>
      </c>
      <c r="I34" s="133" t="e">
        <f>IF(D34="vehicle-mile",VLOOKUP(E34,'Emissions Factors'!$B$211:$F$213,4,FALSE),VLOOKUP(E34,'Emissions Factors'!$B$214:$F$217,4,FALSE))</f>
        <v>#N/A</v>
      </c>
      <c r="J34" s="133" t="e">
        <f>IF(D34="vehicle-mile",VLOOKUP(E34,'Emissions Factors'!$B$211:$F$213,5,FALSE),VLOOKUP(E34,'Emissions Factors'!$B$214:$F$217,5,FALSE))</f>
        <v>#N/A</v>
      </c>
      <c r="K34" s="134">
        <f>'Emissions Factors'!$C$75</f>
        <v>28</v>
      </c>
      <c r="L34" s="134">
        <f>'Emissions Factors'!$C$76</f>
        <v>265</v>
      </c>
      <c r="M34" s="136" t="e">
        <f t="shared" si="0"/>
        <v>#N/A</v>
      </c>
      <c r="N34" s="136" t="e">
        <f t="shared" si="1"/>
        <v>#N/A</v>
      </c>
      <c r="O34" s="136" t="e">
        <f t="shared" si="2"/>
        <v>#N/A</v>
      </c>
      <c r="P34" s="132" t="str">
        <f t="shared" si="3"/>
        <v/>
      </c>
      <c r="Q34" s="418" t="str">
        <f t="shared" si="4"/>
        <v/>
      </c>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row>
    <row r="35" spans="1:118" s="21" customFormat="1" ht="13" hidden="1" outlineLevel="1" x14ac:dyDescent="0.15">
      <c r="A35" s="121"/>
      <c r="B35" s="397"/>
      <c r="C35" s="397"/>
      <c r="D35" s="391"/>
      <c r="E35" s="403"/>
      <c r="F35" s="391"/>
      <c r="G35" s="404"/>
      <c r="H35" s="133" t="e">
        <f>IF(D35="vehicle-mile",VLOOKUP(E35,'Emissions Factors'!$B$211:$F$213,3,FALSE),VLOOKUP(E35,'Emissions Factors'!$B$214:$F$217,3,FALSE))</f>
        <v>#N/A</v>
      </c>
      <c r="I35" s="133" t="e">
        <f>IF(D35="vehicle-mile",VLOOKUP(E35,'Emissions Factors'!$B$211:$F$213,4,FALSE),VLOOKUP(E35,'Emissions Factors'!$B$214:$F$217,4,FALSE))</f>
        <v>#N/A</v>
      </c>
      <c r="J35" s="133" t="e">
        <f>IF(D35="vehicle-mile",VLOOKUP(E35,'Emissions Factors'!$B$211:$F$213,5,FALSE),VLOOKUP(E35,'Emissions Factors'!$B$214:$F$217,5,FALSE))</f>
        <v>#N/A</v>
      </c>
      <c r="K35" s="134">
        <f>'Emissions Factors'!$C$75</f>
        <v>28</v>
      </c>
      <c r="L35" s="134">
        <f>'Emissions Factors'!$C$76</f>
        <v>265</v>
      </c>
      <c r="M35" s="136" t="e">
        <f t="shared" si="0"/>
        <v>#N/A</v>
      </c>
      <c r="N35" s="136" t="e">
        <f t="shared" si="1"/>
        <v>#N/A</v>
      </c>
      <c r="O35" s="136" t="e">
        <f t="shared" si="2"/>
        <v>#N/A</v>
      </c>
      <c r="P35" s="132" t="str">
        <f t="shared" si="3"/>
        <v/>
      </c>
      <c r="Q35" s="418" t="str">
        <f t="shared" si="4"/>
        <v/>
      </c>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row>
    <row r="36" spans="1:118" s="21" customFormat="1" ht="13" hidden="1" outlineLevel="1" x14ac:dyDescent="0.15">
      <c r="A36" s="121"/>
      <c r="B36" s="397"/>
      <c r="C36" s="397"/>
      <c r="D36" s="391"/>
      <c r="E36" s="403"/>
      <c r="F36" s="391"/>
      <c r="G36" s="404"/>
      <c r="H36" s="133" t="e">
        <f>IF(D36="vehicle-mile",VLOOKUP(E36,'Emissions Factors'!$B$211:$F$213,3,FALSE),VLOOKUP(E36,'Emissions Factors'!$B$214:$F$217,3,FALSE))</f>
        <v>#N/A</v>
      </c>
      <c r="I36" s="133" t="e">
        <f>IF(D36="vehicle-mile",VLOOKUP(E36,'Emissions Factors'!$B$211:$F$213,4,FALSE),VLOOKUP(E36,'Emissions Factors'!$B$214:$F$217,4,FALSE))</f>
        <v>#N/A</v>
      </c>
      <c r="J36" s="133" t="e">
        <f>IF(D36="vehicle-mile",VLOOKUP(E36,'Emissions Factors'!$B$211:$F$213,5,FALSE),VLOOKUP(E36,'Emissions Factors'!$B$214:$F$217,5,FALSE))</f>
        <v>#N/A</v>
      </c>
      <c r="K36" s="134">
        <f>'Emissions Factors'!$C$75</f>
        <v>28</v>
      </c>
      <c r="L36" s="134">
        <f>'Emissions Factors'!$C$76</f>
        <v>265</v>
      </c>
      <c r="M36" s="136" t="e">
        <f t="shared" si="0"/>
        <v>#N/A</v>
      </c>
      <c r="N36" s="136" t="e">
        <f t="shared" si="1"/>
        <v>#N/A</v>
      </c>
      <c r="O36" s="136" t="e">
        <f t="shared" si="2"/>
        <v>#N/A</v>
      </c>
      <c r="P36" s="132" t="str">
        <f t="shared" si="3"/>
        <v/>
      </c>
      <c r="Q36" s="418" t="str">
        <f t="shared" si="4"/>
        <v/>
      </c>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21"/>
      <c r="CX36" s="121"/>
      <c r="CY36" s="121"/>
      <c r="CZ36" s="121"/>
      <c r="DA36" s="121"/>
      <c r="DB36" s="121"/>
      <c r="DC36" s="121"/>
      <c r="DD36" s="121"/>
      <c r="DE36" s="121"/>
      <c r="DF36" s="121"/>
      <c r="DG36" s="121"/>
      <c r="DH36" s="121"/>
      <c r="DI36" s="121"/>
      <c r="DJ36" s="121"/>
      <c r="DK36" s="121"/>
      <c r="DL36" s="121"/>
      <c r="DM36" s="121"/>
      <c r="DN36" s="121"/>
    </row>
    <row r="37" spans="1:118" s="21" customFormat="1" ht="13" hidden="1" outlineLevel="1" x14ac:dyDescent="0.15">
      <c r="A37" s="121"/>
      <c r="B37" s="397"/>
      <c r="C37" s="397"/>
      <c r="D37" s="391"/>
      <c r="E37" s="403"/>
      <c r="F37" s="391"/>
      <c r="G37" s="404"/>
      <c r="H37" s="133" t="e">
        <f>IF(D37="vehicle-mile",VLOOKUP(E37,'Emissions Factors'!$B$211:$F$213,3,FALSE),VLOOKUP(E37,'Emissions Factors'!$B$214:$F$217,3,FALSE))</f>
        <v>#N/A</v>
      </c>
      <c r="I37" s="133" t="e">
        <f>IF(D37="vehicle-mile",VLOOKUP(E37,'Emissions Factors'!$B$211:$F$213,4,FALSE),VLOOKUP(E37,'Emissions Factors'!$B$214:$F$217,4,FALSE))</f>
        <v>#N/A</v>
      </c>
      <c r="J37" s="133" t="e">
        <f>IF(D37="vehicle-mile",VLOOKUP(E37,'Emissions Factors'!$B$211:$F$213,5,FALSE),VLOOKUP(E37,'Emissions Factors'!$B$214:$F$217,5,FALSE))</f>
        <v>#N/A</v>
      </c>
      <c r="K37" s="134">
        <f>'Emissions Factors'!$C$75</f>
        <v>28</v>
      </c>
      <c r="L37" s="134">
        <f>'Emissions Factors'!$C$76</f>
        <v>265</v>
      </c>
      <c r="M37" s="136" t="e">
        <f t="shared" si="0"/>
        <v>#N/A</v>
      </c>
      <c r="N37" s="136" t="e">
        <f t="shared" si="1"/>
        <v>#N/A</v>
      </c>
      <c r="O37" s="136" t="e">
        <f t="shared" si="2"/>
        <v>#N/A</v>
      </c>
      <c r="P37" s="132" t="str">
        <f t="shared" si="3"/>
        <v/>
      </c>
      <c r="Q37" s="418" t="str">
        <f t="shared" si="4"/>
        <v/>
      </c>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1"/>
      <c r="DI37" s="121"/>
      <c r="DJ37" s="121"/>
      <c r="DK37" s="121"/>
      <c r="DL37" s="121"/>
      <c r="DM37" s="121"/>
      <c r="DN37" s="121"/>
    </row>
    <row r="38" spans="1:118" s="21" customFormat="1" ht="13" hidden="1" outlineLevel="1" x14ac:dyDescent="0.15">
      <c r="A38" s="121"/>
      <c r="B38" s="397"/>
      <c r="C38" s="397"/>
      <c r="D38" s="391"/>
      <c r="E38" s="403"/>
      <c r="F38" s="391"/>
      <c r="G38" s="404"/>
      <c r="H38" s="133" t="e">
        <f>IF(D38="vehicle-mile",VLOOKUP(E38,'Emissions Factors'!$B$211:$F$213,3,FALSE),VLOOKUP(E38,'Emissions Factors'!$B$214:$F$217,3,FALSE))</f>
        <v>#N/A</v>
      </c>
      <c r="I38" s="133" t="e">
        <f>IF(D38="vehicle-mile",VLOOKUP(E38,'Emissions Factors'!$B$211:$F$213,4,FALSE),VLOOKUP(E38,'Emissions Factors'!$B$214:$F$217,4,FALSE))</f>
        <v>#N/A</v>
      </c>
      <c r="J38" s="133" t="e">
        <f>IF(D38="vehicle-mile",VLOOKUP(E38,'Emissions Factors'!$B$211:$F$213,5,FALSE),VLOOKUP(E38,'Emissions Factors'!$B$214:$F$217,5,FALSE))</f>
        <v>#N/A</v>
      </c>
      <c r="K38" s="134">
        <f>'Emissions Factors'!$C$75</f>
        <v>28</v>
      </c>
      <c r="L38" s="134">
        <f>'Emissions Factors'!$C$76</f>
        <v>265</v>
      </c>
      <c r="M38" s="136" t="e">
        <f t="shared" si="0"/>
        <v>#N/A</v>
      </c>
      <c r="N38" s="136" t="e">
        <f t="shared" si="1"/>
        <v>#N/A</v>
      </c>
      <c r="O38" s="136" t="e">
        <f t="shared" si="2"/>
        <v>#N/A</v>
      </c>
      <c r="P38" s="132" t="str">
        <f t="shared" si="3"/>
        <v/>
      </c>
      <c r="Q38" s="418" t="str">
        <f t="shared" si="4"/>
        <v/>
      </c>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row>
    <row r="39" spans="1:118" s="21" customFormat="1" ht="13" hidden="1" outlineLevel="1" x14ac:dyDescent="0.15">
      <c r="A39" s="121"/>
      <c r="B39" s="397"/>
      <c r="C39" s="397"/>
      <c r="D39" s="391"/>
      <c r="E39" s="403"/>
      <c r="F39" s="391"/>
      <c r="G39" s="404"/>
      <c r="H39" s="133" t="e">
        <f>IF(D39="vehicle-mile",VLOOKUP(E39,'Emissions Factors'!$B$211:$F$213,3,FALSE),VLOOKUP(E39,'Emissions Factors'!$B$214:$F$217,3,FALSE))</f>
        <v>#N/A</v>
      </c>
      <c r="I39" s="133" t="e">
        <f>IF(D39="vehicle-mile",VLOOKUP(E39,'Emissions Factors'!$B$211:$F$213,4,FALSE),VLOOKUP(E39,'Emissions Factors'!$B$214:$F$217,4,FALSE))</f>
        <v>#N/A</v>
      </c>
      <c r="J39" s="133" t="e">
        <f>IF(D39="vehicle-mile",VLOOKUP(E39,'Emissions Factors'!$B$211:$F$213,5,FALSE),VLOOKUP(E39,'Emissions Factors'!$B$214:$F$217,5,FALSE))</f>
        <v>#N/A</v>
      </c>
      <c r="K39" s="134">
        <f>'Emissions Factors'!$C$75</f>
        <v>28</v>
      </c>
      <c r="L39" s="134">
        <f>'Emissions Factors'!$C$76</f>
        <v>265</v>
      </c>
      <c r="M39" s="136" t="e">
        <f t="shared" si="0"/>
        <v>#N/A</v>
      </c>
      <c r="N39" s="136" t="e">
        <f t="shared" si="1"/>
        <v>#N/A</v>
      </c>
      <c r="O39" s="136" t="e">
        <f t="shared" si="2"/>
        <v>#N/A</v>
      </c>
      <c r="P39" s="132" t="str">
        <f t="shared" si="3"/>
        <v/>
      </c>
      <c r="Q39" s="418" t="str">
        <f t="shared" si="4"/>
        <v/>
      </c>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row>
    <row r="40" spans="1:118" s="21" customFormat="1" ht="13" hidden="1" outlineLevel="1" x14ac:dyDescent="0.15">
      <c r="A40" s="121"/>
      <c r="B40" s="397"/>
      <c r="C40" s="397"/>
      <c r="D40" s="391"/>
      <c r="E40" s="403"/>
      <c r="F40" s="391"/>
      <c r="G40" s="404"/>
      <c r="H40" s="133" t="e">
        <f>IF(D40="vehicle-mile",VLOOKUP(E40,'Emissions Factors'!$B$211:$F$213,3,FALSE),VLOOKUP(E40,'Emissions Factors'!$B$214:$F$217,3,FALSE))</f>
        <v>#N/A</v>
      </c>
      <c r="I40" s="133" t="e">
        <f>IF(D40="vehicle-mile",VLOOKUP(E40,'Emissions Factors'!$B$211:$F$213,4,FALSE),VLOOKUP(E40,'Emissions Factors'!$B$214:$F$217,4,FALSE))</f>
        <v>#N/A</v>
      </c>
      <c r="J40" s="133" t="e">
        <f>IF(D40="vehicle-mile",VLOOKUP(E40,'Emissions Factors'!$B$211:$F$213,5,FALSE),VLOOKUP(E40,'Emissions Factors'!$B$214:$F$217,5,FALSE))</f>
        <v>#N/A</v>
      </c>
      <c r="K40" s="134">
        <f>'Emissions Factors'!$C$75</f>
        <v>28</v>
      </c>
      <c r="L40" s="134">
        <f>'Emissions Factors'!$C$76</f>
        <v>265</v>
      </c>
      <c r="M40" s="136" t="e">
        <f t="shared" si="0"/>
        <v>#N/A</v>
      </c>
      <c r="N40" s="136" t="e">
        <f t="shared" si="1"/>
        <v>#N/A</v>
      </c>
      <c r="O40" s="136" t="e">
        <f t="shared" si="2"/>
        <v>#N/A</v>
      </c>
      <c r="P40" s="132" t="str">
        <f t="shared" si="3"/>
        <v/>
      </c>
      <c r="Q40" s="418" t="str">
        <f t="shared" si="4"/>
        <v/>
      </c>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row>
    <row r="41" spans="1:118" s="21" customFormat="1" ht="13" hidden="1" outlineLevel="1" x14ac:dyDescent="0.15">
      <c r="A41" s="121"/>
      <c r="B41" s="397"/>
      <c r="C41" s="397"/>
      <c r="D41" s="391"/>
      <c r="E41" s="403"/>
      <c r="F41" s="391"/>
      <c r="G41" s="404"/>
      <c r="H41" s="133" t="e">
        <f>IF(D41="vehicle-mile",VLOOKUP(E41,'Emissions Factors'!$B$211:$F$213,3,FALSE),VLOOKUP(E41,'Emissions Factors'!$B$214:$F$217,3,FALSE))</f>
        <v>#N/A</v>
      </c>
      <c r="I41" s="133" t="e">
        <f>IF(D41="vehicle-mile",VLOOKUP(E41,'Emissions Factors'!$B$211:$F$213,4,FALSE),VLOOKUP(E41,'Emissions Factors'!$B$214:$F$217,4,FALSE))</f>
        <v>#N/A</v>
      </c>
      <c r="J41" s="133" t="e">
        <f>IF(D41="vehicle-mile",VLOOKUP(E41,'Emissions Factors'!$B$211:$F$213,5,FALSE),VLOOKUP(E41,'Emissions Factors'!$B$214:$F$217,5,FALSE))</f>
        <v>#N/A</v>
      </c>
      <c r="K41" s="134">
        <f>'Emissions Factors'!$C$75</f>
        <v>28</v>
      </c>
      <c r="L41" s="134">
        <f>'Emissions Factors'!$C$76</f>
        <v>265</v>
      </c>
      <c r="M41" s="136" t="e">
        <f t="shared" si="0"/>
        <v>#N/A</v>
      </c>
      <c r="N41" s="136" t="e">
        <f t="shared" si="1"/>
        <v>#N/A</v>
      </c>
      <c r="O41" s="136" t="e">
        <f t="shared" si="2"/>
        <v>#N/A</v>
      </c>
      <c r="P41" s="132" t="str">
        <f t="shared" si="3"/>
        <v/>
      </c>
      <c r="Q41" s="418" t="str">
        <f t="shared" si="4"/>
        <v/>
      </c>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row>
    <row r="42" spans="1:118" s="21" customFormat="1" ht="13" hidden="1" outlineLevel="1" x14ac:dyDescent="0.15">
      <c r="A42" s="121"/>
      <c r="B42" s="397"/>
      <c r="C42" s="397"/>
      <c r="D42" s="391"/>
      <c r="E42" s="403"/>
      <c r="F42" s="391"/>
      <c r="G42" s="404"/>
      <c r="H42" s="133" t="e">
        <f>IF(D42="vehicle-mile",VLOOKUP(E42,'Emissions Factors'!$B$211:$F$213,3,FALSE),VLOOKUP(E42,'Emissions Factors'!$B$214:$F$217,3,FALSE))</f>
        <v>#N/A</v>
      </c>
      <c r="I42" s="133" t="e">
        <f>IF(D42="vehicle-mile",VLOOKUP(E42,'Emissions Factors'!$B$211:$F$213,4,FALSE),VLOOKUP(E42,'Emissions Factors'!$B$214:$F$217,4,FALSE))</f>
        <v>#N/A</v>
      </c>
      <c r="J42" s="133" t="e">
        <f>IF(D42="vehicle-mile",VLOOKUP(E42,'Emissions Factors'!$B$211:$F$213,5,FALSE),VLOOKUP(E42,'Emissions Factors'!$B$214:$F$217,5,FALSE))</f>
        <v>#N/A</v>
      </c>
      <c r="K42" s="134">
        <f>'Emissions Factors'!$C$75</f>
        <v>28</v>
      </c>
      <c r="L42" s="134">
        <f>'Emissions Factors'!$C$76</f>
        <v>265</v>
      </c>
      <c r="M42" s="136" t="e">
        <f t="shared" si="0"/>
        <v>#N/A</v>
      </c>
      <c r="N42" s="136" t="e">
        <f t="shared" si="1"/>
        <v>#N/A</v>
      </c>
      <c r="O42" s="136" t="e">
        <f t="shared" si="2"/>
        <v>#N/A</v>
      </c>
      <c r="P42" s="132" t="str">
        <f t="shared" si="3"/>
        <v/>
      </c>
      <c r="Q42" s="418" t="str">
        <f t="shared" si="4"/>
        <v/>
      </c>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row>
    <row r="43" spans="1:118" s="21" customFormat="1" ht="13" hidden="1" outlineLevel="1" collapsed="1" x14ac:dyDescent="0.15">
      <c r="A43" s="121"/>
      <c r="B43" s="397"/>
      <c r="C43" s="397"/>
      <c r="D43" s="391"/>
      <c r="E43" s="403"/>
      <c r="F43" s="391"/>
      <c r="G43" s="404"/>
      <c r="H43" s="133" t="e">
        <f>IF(D43="vehicle-mile",VLOOKUP(E43,'Emissions Factors'!$B$211:$F$213,3,FALSE),VLOOKUP(E43,'Emissions Factors'!$B$214:$F$217,3,FALSE))</f>
        <v>#N/A</v>
      </c>
      <c r="I43" s="133" t="e">
        <f>IF(D43="vehicle-mile",VLOOKUP(E43,'Emissions Factors'!$B$211:$F$213,4,FALSE),VLOOKUP(E43,'Emissions Factors'!$B$214:$F$217,4,FALSE))</f>
        <v>#N/A</v>
      </c>
      <c r="J43" s="133" t="e">
        <f>IF(D43="vehicle-mile",VLOOKUP(E43,'Emissions Factors'!$B$211:$F$213,5,FALSE),VLOOKUP(E43,'Emissions Factors'!$B$214:$F$217,5,FALSE))</f>
        <v>#N/A</v>
      </c>
      <c r="K43" s="134">
        <f>'Emissions Factors'!$C$75</f>
        <v>28</v>
      </c>
      <c r="L43" s="134">
        <f>'Emissions Factors'!$C$76</f>
        <v>265</v>
      </c>
      <c r="M43" s="136" t="e">
        <f t="shared" si="0"/>
        <v>#N/A</v>
      </c>
      <c r="N43" s="136" t="e">
        <f t="shared" si="1"/>
        <v>#N/A</v>
      </c>
      <c r="O43" s="136" t="e">
        <f t="shared" si="2"/>
        <v>#N/A</v>
      </c>
      <c r="P43" s="132" t="str">
        <f t="shared" si="3"/>
        <v/>
      </c>
      <c r="Q43" s="418" t="str">
        <f t="shared" si="4"/>
        <v/>
      </c>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row>
    <row r="44" spans="1:118" s="21" customFormat="1" ht="13" hidden="1" outlineLevel="1" x14ac:dyDescent="0.15">
      <c r="A44" s="121"/>
      <c r="B44" s="397"/>
      <c r="C44" s="397"/>
      <c r="D44" s="391"/>
      <c r="E44" s="403"/>
      <c r="F44" s="391"/>
      <c r="G44" s="404"/>
      <c r="H44" s="133" t="e">
        <f>IF(D44="vehicle-mile",VLOOKUP(E44,'Emissions Factors'!$B$211:$F$213,3,FALSE),VLOOKUP(E44,'Emissions Factors'!$B$214:$F$217,3,FALSE))</f>
        <v>#N/A</v>
      </c>
      <c r="I44" s="133" t="e">
        <f>IF(D44="vehicle-mile",VLOOKUP(E44,'Emissions Factors'!$B$211:$F$213,4,FALSE),VLOOKUP(E44,'Emissions Factors'!$B$214:$F$217,4,FALSE))</f>
        <v>#N/A</v>
      </c>
      <c r="J44" s="133" t="e">
        <f>IF(D44="vehicle-mile",VLOOKUP(E44,'Emissions Factors'!$B$211:$F$213,5,FALSE),VLOOKUP(E44,'Emissions Factors'!$B$214:$F$217,5,FALSE))</f>
        <v>#N/A</v>
      </c>
      <c r="K44" s="134">
        <f>'Emissions Factors'!$C$75</f>
        <v>28</v>
      </c>
      <c r="L44" s="134">
        <f>'Emissions Factors'!$C$76</f>
        <v>265</v>
      </c>
      <c r="M44" s="136" t="e">
        <f t="shared" si="0"/>
        <v>#N/A</v>
      </c>
      <c r="N44" s="136" t="e">
        <f t="shared" si="1"/>
        <v>#N/A</v>
      </c>
      <c r="O44" s="136" t="e">
        <f t="shared" si="2"/>
        <v>#N/A</v>
      </c>
      <c r="P44" s="132" t="str">
        <f t="shared" si="3"/>
        <v/>
      </c>
      <c r="Q44" s="418" t="str">
        <f t="shared" si="4"/>
        <v/>
      </c>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row>
    <row r="45" spans="1:118" s="21" customFormat="1" ht="13" hidden="1" outlineLevel="1" x14ac:dyDescent="0.15">
      <c r="A45" s="121"/>
      <c r="B45" s="397"/>
      <c r="C45" s="397"/>
      <c r="D45" s="391"/>
      <c r="E45" s="403"/>
      <c r="F45" s="391"/>
      <c r="G45" s="404"/>
      <c r="H45" s="133" t="e">
        <f>IF(D45="vehicle-mile",VLOOKUP(E45,'Emissions Factors'!$B$211:$F$213,3,FALSE),VLOOKUP(E45,'Emissions Factors'!$B$214:$F$217,3,FALSE))</f>
        <v>#N/A</v>
      </c>
      <c r="I45" s="133" t="e">
        <f>IF(D45="vehicle-mile",VLOOKUP(E45,'Emissions Factors'!$B$211:$F$213,4,FALSE),VLOOKUP(E45,'Emissions Factors'!$B$214:$F$217,4,FALSE))</f>
        <v>#N/A</v>
      </c>
      <c r="J45" s="133" t="e">
        <f>IF(D45="vehicle-mile",VLOOKUP(E45,'Emissions Factors'!$B$211:$F$213,5,FALSE),VLOOKUP(E45,'Emissions Factors'!$B$214:$F$217,5,FALSE))</f>
        <v>#N/A</v>
      </c>
      <c r="K45" s="134">
        <f>'Emissions Factors'!$C$75</f>
        <v>28</v>
      </c>
      <c r="L45" s="134">
        <f>'Emissions Factors'!$C$76</f>
        <v>265</v>
      </c>
      <c r="M45" s="136" t="e">
        <f t="shared" si="0"/>
        <v>#N/A</v>
      </c>
      <c r="N45" s="136" t="e">
        <f t="shared" si="1"/>
        <v>#N/A</v>
      </c>
      <c r="O45" s="136" t="e">
        <f t="shared" si="2"/>
        <v>#N/A</v>
      </c>
      <c r="P45" s="132" t="str">
        <f t="shared" si="3"/>
        <v/>
      </c>
      <c r="Q45" s="418" t="str">
        <f t="shared" si="4"/>
        <v/>
      </c>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row>
    <row r="46" spans="1:118" s="21" customFormat="1" ht="13" hidden="1" outlineLevel="1" x14ac:dyDescent="0.15">
      <c r="A46" s="121"/>
      <c r="B46" s="397"/>
      <c r="C46" s="397"/>
      <c r="D46" s="391"/>
      <c r="E46" s="403"/>
      <c r="F46" s="391"/>
      <c r="G46" s="404"/>
      <c r="H46" s="133" t="e">
        <f>IF(D46="vehicle-mile",VLOOKUP(E46,'Emissions Factors'!$B$211:$F$213,3,FALSE),VLOOKUP(E46,'Emissions Factors'!$B$214:$F$217,3,FALSE))</f>
        <v>#N/A</v>
      </c>
      <c r="I46" s="133" t="e">
        <f>IF(D46="vehicle-mile",VLOOKUP(E46,'Emissions Factors'!$B$211:$F$213,4,FALSE),VLOOKUP(E46,'Emissions Factors'!$B$214:$F$217,4,FALSE))</f>
        <v>#N/A</v>
      </c>
      <c r="J46" s="133" t="e">
        <f>IF(D46="vehicle-mile",VLOOKUP(E46,'Emissions Factors'!$B$211:$F$213,5,FALSE),VLOOKUP(E46,'Emissions Factors'!$B$214:$F$217,5,FALSE))</f>
        <v>#N/A</v>
      </c>
      <c r="K46" s="134">
        <f>'Emissions Factors'!$C$75</f>
        <v>28</v>
      </c>
      <c r="L46" s="134">
        <f>'Emissions Factors'!$C$76</f>
        <v>265</v>
      </c>
      <c r="M46" s="136" t="e">
        <f t="shared" si="0"/>
        <v>#N/A</v>
      </c>
      <c r="N46" s="136" t="e">
        <f t="shared" si="1"/>
        <v>#N/A</v>
      </c>
      <c r="O46" s="136" t="e">
        <f t="shared" si="2"/>
        <v>#N/A</v>
      </c>
      <c r="P46" s="132" t="str">
        <f t="shared" si="3"/>
        <v/>
      </c>
      <c r="Q46" s="418" t="str">
        <f t="shared" si="4"/>
        <v/>
      </c>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row>
    <row r="47" spans="1:118" s="21" customFormat="1" ht="13" hidden="1" outlineLevel="1" x14ac:dyDescent="0.15">
      <c r="A47" s="121"/>
      <c r="B47" s="397"/>
      <c r="C47" s="397"/>
      <c r="D47" s="391"/>
      <c r="E47" s="403"/>
      <c r="F47" s="391"/>
      <c r="G47" s="404"/>
      <c r="H47" s="133" t="e">
        <f>IF(D47="vehicle-mile",VLOOKUP(E47,'Emissions Factors'!$B$211:$F$213,3,FALSE),VLOOKUP(E47,'Emissions Factors'!$B$214:$F$217,3,FALSE))</f>
        <v>#N/A</v>
      </c>
      <c r="I47" s="133" t="e">
        <f>IF(D47="vehicle-mile",VLOOKUP(E47,'Emissions Factors'!$B$211:$F$213,4,FALSE),VLOOKUP(E47,'Emissions Factors'!$B$214:$F$217,4,FALSE))</f>
        <v>#N/A</v>
      </c>
      <c r="J47" s="133" t="e">
        <f>IF(D47="vehicle-mile",VLOOKUP(E47,'Emissions Factors'!$B$211:$F$213,5,FALSE),VLOOKUP(E47,'Emissions Factors'!$B$214:$F$217,5,FALSE))</f>
        <v>#N/A</v>
      </c>
      <c r="K47" s="134">
        <f>'Emissions Factors'!$C$75</f>
        <v>28</v>
      </c>
      <c r="L47" s="134">
        <f>'Emissions Factors'!$C$76</f>
        <v>265</v>
      </c>
      <c r="M47" s="136" t="e">
        <f t="shared" si="0"/>
        <v>#N/A</v>
      </c>
      <c r="N47" s="136" t="e">
        <f t="shared" si="1"/>
        <v>#N/A</v>
      </c>
      <c r="O47" s="136" t="e">
        <f t="shared" si="2"/>
        <v>#N/A</v>
      </c>
      <c r="P47" s="132" t="str">
        <f t="shared" si="3"/>
        <v/>
      </c>
      <c r="Q47" s="418" t="str">
        <f t="shared" si="4"/>
        <v/>
      </c>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row>
    <row r="48" spans="1:118" s="21" customFormat="1" ht="13" hidden="1" outlineLevel="1" x14ac:dyDescent="0.15">
      <c r="A48" s="121"/>
      <c r="B48" s="397"/>
      <c r="C48" s="397"/>
      <c r="D48" s="391"/>
      <c r="E48" s="403"/>
      <c r="F48" s="391"/>
      <c r="G48" s="404"/>
      <c r="H48" s="133" t="e">
        <f>IF(D48="vehicle-mile",VLOOKUP(E48,'Emissions Factors'!$B$211:$F$213,3,FALSE),VLOOKUP(E48,'Emissions Factors'!$B$214:$F$217,3,FALSE))</f>
        <v>#N/A</v>
      </c>
      <c r="I48" s="133" t="e">
        <f>IF(D48="vehicle-mile",VLOOKUP(E48,'Emissions Factors'!$B$211:$F$213,4,FALSE),VLOOKUP(E48,'Emissions Factors'!$B$214:$F$217,4,FALSE))</f>
        <v>#N/A</v>
      </c>
      <c r="J48" s="133" t="e">
        <f>IF(D48="vehicle-mile",VLOOKUP(E48,'Emissions Factors'!$B$211:$F$213,5,FALSE),VLOOKUP(E48,'Emissions Factors'!$B$214:$F$217,5,FALSE))</f>
        <v>#N/A</v>
      </c>
      <c r="K48" s="134">
        <f>'Emissions Factors'!$C$75</f>
        <v>28</v>
      </c>
      <c r="L48" s="134">
        <f>'Emissions Factors'!$C$76</f>
        <v>265</v>
      </c>
      <c r="M48" s="136" t="e">
        <f t="shared" si="0"/>
        <v>#N/A</v>
      </c>
      <c r="N48" s="136" t="e">
        <f t="shared" si="1"/>
        <v>#N/A</v>
      </c>
      <c r="O48" s="136" t="e">
        <f t="shared" si="2"/>
        <v>#N/A</v>
      </c>
      <c r="P48" s="132" t="str">
        <f t="shared" si="3"/>
        <v/>
      </c>
      <c r="Q48" s="418" t="str">
        <f t="shared" si="4"/>
        <v/>
      </c>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row>
    <row r="49" spans="1:118" s="21" customFormat="1" ht="13" hidden="1" outlineLevel="1" x14ac:dyDescent="0.15">
      <c r="A49" s="121"/>
      <c r="B49" s="397"/>
      <c r="C49" s="397"/>
      <c r="D49" s="391"/>
      <c r="E49" s="403"/>
      <c r="F49" s="391"/>
      <c r="G49" s="404"/>
      <c r="H49" s="133" t="e">
        <f>IF(D49="vehicle-mile",VLOOKUP(E49,'Emissions Factors'!$B$211:$F$213,3,FALSE),VLOOKUP(E49,'Emissions Factors'!$B$214:$F$217,3,FALSE))</f>
        <v>#N/A</v>
      </c>
      <c r="I49" s="133" t="e">
        <f>IF(D49="vehicle-mile",VLOOKUP(E49,'Emissions Factors'!$B$211:$F$213,4,FALSE),VLOOKUP(E49,'Emissions Factors'!$B$214:$F$217,4,FALSE))</f>
        <v>#N/A</v>
      </c>
      <c r="J49" s="133" t="e">
        <f>IF(D49="vehicle-mile",VLOOKUP(E49,'Emissions Factors'!$B$211:$F$213,5,FALSE),VLOOKUP(E49,'Emissions Factors'!$B$214:$F$217,5,FALSE))</f>
        <v>#N/A</v>
      </c>
      <c r="K49" s="134">
        <f>'Emissions Factors'!$C$75</f>
        <v>28</v>
      </c>
      <c r="L49" s="134">
        <f>'Emissions Factors'!$C$76</f>
        <v>265</v>
      </c>
      <c r="M49" s="136" t="e">
        <f t="shared" ref="M49:M68" si="5">IF(D49="ton-mile",(F49*G49*H49)/1000,(F49*H49)/1000)</f>
        <v>#N/A</v>
      </c>
      <c r="N49" s="136" t="e">
        <f t="shared" ref="N49:N68" si="6">IF(D49="ton-mile",F49*G49*I49/1000000,F49*I49/1000000)</f>
        <v>#N/A</v>
      </c>
      <c r="O49" s="136" t="e">
        <f t="shared" ref="O49:O68" si="7">IF(D49="ton-mile",F49*G49*J49/1000000,F49*J49/1000000)</f>
        <v>#N/A</v>
      </c>
      <c r="P49" s="132" t="str">
        <f t="shared" ref="P49:P68" si="8">IFERROR(M49+N49*K49+O49*L49,"")</f>
        <v/>
      </c>
      <c r="Q49" s="418" t="str">
        <f t="shared" si="4"/>
        <v/>
      </c>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row>
    <row r="50" spans="1:118" s="21" customFormat="1" ht="13" hidden="1" outlineLevel="1" x14ac:dyDescent="0.15">
      <c r="A50" s="121"/>
      <c r="B50" s="397"/>
      <c r="C50" s="397"/>
      <c r="D50" s="391"/>
      <c r="E50" s="403"/>
      <c r="F50" s="391"/>
      <c r="G50" s="404"/>
      <c r="H50" s="133" t="e">
        <f>IF(D50="vehicle-mile",VLOOKUP(E50,'Emissions Factors'!$B$211:$F$213,3,FALSE),VLOOKUP(E50,'Emissions Factors'!$B$214:$F$217,3,FALSE))</f>
        <v>#N/A</v>
      </c>
      <c r="I50" s="133" t="e">
        <f>IF(D50="vehicle-mile",VLOOKUP(E50,'Emissions Factors'!$B$211:$F$213,4,FALSE),VLOOKUP(E50,'Emissions Factors'!$B$214:$F$217,4,FALSE))</f>
        <v>#N/A</v>
      </c>
      <c r="J50" s="133" t="e">
        <f>IF(D50="vehicle-mile",VLOOKUP(E50,'Emissions Factors'!$B$211:$F$213,5,FALSE),VLOOKUP(E50,'Emissions Factors'!$B$214:$F$217,5,FALSE))</f>
        <v>#N/A</v>
      </c>
      <c r="K50" s="134">
        <f>'Emissions Factors'!$C$75</f>
        <v>28</v>
      </c>
      <c r="L50" s="134">
        <f>'Emissions Factors'!$C$76</f>
        <v>265</v>
      </c>
      <c r="M50" s="136" t="e">
        <f t="shared" si="5"/>
        <v>#N/A</v>
      </c>
      <c r="N50" s="136" t="e">
        <f t="shared" si="6"/>
        <v>#N/A</v>
      </c>
      <c r="O50" s="136" t="e">
        <f t="shared" si="7"/>
        <v>#N/A</v>
      </c>
      <c r="P50" s="132" t="str">
        <f t="shared" si="8"/>
        <v/>
      </c>
      <c r="Q50" s="418" t="str">
        <f t="shared" si="4"/>
        <v/>
      </c>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row>
    <row r="51" spans="1:118" s="21" customFormat="1" ht="13" hidden="1" outlineLevel="1" x14ac:dyDescent="0.15">
      <c r="A51" s="121"/>
      <c r="B51" s="397"/>
      <c r="C51" s="397"/>
      <c r="D51" s="391"/>
      <c r="E51" s="403"/>
      <c r="F51" s="391"/>
      <c r="G51" s="404"/>
      <c r="H51" s="133" t="e">
        <f>IF(D51="vehicle-mile",VLOOKUP(E51,'Emissions Factors'!$B$211:$F$213,3,FALSE),VLOOKUP(E51,'Emissions Factors'!$B$214:$F$217,3,FALSE))</f>
        <v>#N/A</v>
      </c>
      <c r="I51" s="133" t="e">
        <f>IF(D51="vehicle-mile",VLOOKUP(E51,'Emissions Factors'!$B$211:$F$213,4,FALSE),VLOOKUP(E51,'Emissions Factors'!$B$214:$F$217,4,FALSE))</f>
        <v>#N/A</v>
      </c>
      <c r="J51" s="133" t="e">
        <f>IF(D51="vehicle-mile",VLOOKUP(E51,'Emissions Factors'!$B$211:$F$213,5,FALSE),VLOOKUP(E51,'Emissions Factors'!$B$214:$F$217,5,FALSE))</f>
        <v>#N/A</v>
      </c>
      <c r="K51" s="134">
        <f>'Emissions Factors'!$C$75</f>
        <v>28</v>
      </c>
      <c r="L51" s="134">
        <f>'Emissions Factors'!$C$76</f>
        <v>265</v>
      </c>
      <c r="M51" s="136" t="e">
        <f t="shared" si="5"/>
        <v>#N/A</v>
      </c>
      <c r="N51" s="136" t="e">
        <f t="shared" si="6"/>
        <v>#N/A</v>
      </c>
      <c r="O51" s="136" t="e">
        <f t="shared" si="7"/>
        <v>#N/A</v>
      </c>
      <c r="P51" s="132" t="str">
        <f t="shared" si="8"/>
        <v/>
      </c>
      <c r="Q51" s="418" t="str">
        <f t="shared" si="4"/>
        <v/>
      </c>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row>
    <row r="52" spans="1:118" s="21" customFormat="1" ht="13" hidden="1" outlineLevel="1" x14ac:dyDescent="0.15">
      <c r="A52" s="121"/>
      <c r="B52" s="397"/>
      <c r="C52" s="397"/>
      <c r="D52" s="391"/>
      <c r="E52" s="403"/>
      <c r="F52" s="391"/>
      <c r="G52" s="404"/>
      <c r="H52" s="133" t="e">
        <f>IF(D52="vehicle-mile",VLOOKUP(E52,'Emissions Factors'!$B$211:$F$213,3,FALSE),VLOOKUP(E52,'Emissions Factors'!$B$214:$F$217,3,FALSE))</f>
        <v>#N/A</v>
      </c>
      <c r="I52" s="133" t="e">
        <f>IF(D52="vehicle-mile",VLOOKUP(E52,'Emissions Factors'!$B$211:$F$213,4,FALSE),VLOOKUP(E52,'Emissions Factors'!$B$214:$F$217,4,FALSE))</f>
        <v>#N/A</v>
      </c>
      <c r="J52" s="133" t="e">
        <f>IF(D52="vehicle-mile",VLOOKUP(E52,'Emissions Factors'!$B$211:$F$213,5,FALSE),VLOOKUP(E52,'Emissions Factors'!$B$214:$F$217,5,FALSE))</f>
        <v>#N/A</v>
      </c>
      <c r="K52" s="134">
        <f>'Emissions Factors'!$C$75</f>
        <v>28</v>
      </c>
      <c r="L52" s="134">
        <f>'Emissions Factors'!$C$76</f>
        <v>265</v>
      </c>
      <c r="M52" s="136" t="e">
        <f t="shared" si="5"/>
        <v>#N/A</v>
      </c>
      <c r="N52" s="136" t="e">
        <f t="shared" si="6"/>
        <v>#N/A</v>
      </c>
      <c r="O52" s="136" t="e">
        <f t="shared" si="7"/>
        <v>#N/A</v>
      </c>
      <c r="P52" s="132" t="str">
        <f t="shared" si="8"/>
        <v/>
      </c>
      <c r="Q52" s="418" t="str">
        <f t="shared" si="4"/>
        <v/>
      </c>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c r="BT52" s="121"/>
      <c r="BU52" s="121"/>
      <c r="BV52" s="121"/>
      <c r="BW52" s="121"/>
      <c r="BX52" s="121"/>
      <c r="BY52" s="121"/>
      <c r="BZ52" s="121"/>
      <c r="CA52" s="121"/>
      <c r="CB52" s="121"/>
      <c r="CC52" s="121"/>
      <c r="CD52" s="121"/>
      <c r="CE52" s="121"/>
      <c r="CF52" s="121"/>
      <c r="CG52" s="121"/>
      <c r="CH52" s="121"/>
      <c r="CI52" s="121"/>
      <c r="CJ52" s="121"/>
      <c r="CK52" s="121"/>
      <c r="CL52" s="121"/>
      <c r="CM52" s="121"/>
      <c r="CN52" s="121"/>
      <c r="CO52" s="121"/>
      <c r="CP52" s="121"/>
      <c r="CQ52" s="121"/>
      <c r="CR52" s="121"/>
      <c r="CS52" s="121"/>
      <c r="CT52" s="121"/>
      <c r="CU52" s="121"/>
      <c r="CV52" s="121"/>
      <c r="CW52" s="121"/>
      <c r="CX52" s="121"/>
      <c r="CY52" s="121"/>
      <c r="CZ52" s="121"/>
      <c r="DA52" s="121"/>
      <c r="DB52" s="121"/>
      <c r="DC52" s="121"/>
      <c r="DD52" s="121"/>
      <c r="DE52" s="121"/>
      <c r="DF52" s="121"/>
      <c r="DG52" s="121"/>
      <c r="DH52" s="121"/>
      <c r="DI52" s="121"/>
      <c r="DJ52" s="121"/>
      <c r="DK52" s="121"/>
      <c r="DL52" s="121"/>
      <c r="DM52" s="121"/>
      <c r="DN52" s="121"/>
    </row>
    <row r="53" spans="1:118" s="21" customFormat="1" ht="13" hidden="1" outlineLevel="1" x14ac:dyDescent="0.15">
      <c r="A53" s="121"/>
      <c r="B53" s="397"/>
      <c r="C53" s="397"/>
      <c r="D53" s="391"/>
      <c r="E53" s="403"/>
      <c r="F53" s="391"/>
      <c r="G53" s="404"/>
      <c r="H53" s="133" t="e">
        <f>IF(D53="vehicle-mile",VLOOKUP(E53,'Emissions Factors'!$B$211:$F$213,3,FALSE),VLOOKUP(E53,'Emissions Factors'!$B$214:$F$217,3,FALSE))</f>
        <v>#N/A</v>
      </c>
      <c r="I53" s="133" t="e">
        <f>IF(D53="vehicle-mile",VLOOKUP(E53,'Emissions Factors'!$B$211:$F$213,4,FALSE),VLOOKUP(E53,'Emissions Factors'!$B$214:$F$217,4,FALSE))</f>
        <v>#N/A</v>
      </c>
      <c r="J53" s="133" t="e">
        <f>IF(D53="vehicle-mile",VLOOKUP(E53,'Emissions Factors'!$B$211:$F$213,5,FALSE),VLOOKUP(E53,'Emissions Factors'!$B$214:$F$217,5,FALSE))</f>
        <v>#N/A</v>
      </c>
      <c r="K53" s="134">
        <f>'Emissions Factors'!$C$75</f>
        <v>28</v>
      </c>
      <c r="L53" s="134">
        <f>'Emissions Factors'!$C$76</f>
        <v>265</v>
      </c>
      <c r="M53" s="136" t="e">
        <f t="shared" si="5"/>
        <v>#N/A</v>
      </c>
      <c r="N53" s="136" t="e">
        <f t="shared" si="6"/>
        <v>#N/A</v>
      </c>
      <c r="O53" s="136" t="e">
        <f t="shared" si="7"/>
        <v>#N/A</v>
      </c>
      <c r="P53" s="132" t="str">
        <f t="shared" si="8"/>
        <v/>
      </c>
      <c r="Q53" s="418" t="str">
        <f t="shared" si="4"/>
        <v/>
      </c>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1"/>
      <c r="CW53" s="121"/>
      <c r="CX53" s="121"/>
      <c r="CY53" s="121"/>
      <c r="CZ53" s="121"/>
      <c r="DA53" s="121"/>
      <c r="DB53" s="121"/>
      <c r="DC53" s="121"/>
      <c r="DD53" s="121"/>
      <c r="DE53" s="121"/>
      <c r="DF53" s="121"/>
      <c r="DG53" s="121"/>
      <c r="DH53" s="121"/>
      <c r="DI53" s="121"/>
      <c r="DJ53" s="121"/>
      <c r="DK53" s="121"/>
      <c r="DL53" s="121"/>
      <c r="DM53" s="121"/>
      <c r="DN53" s="121"/>
    </row>
    <row r="54" spans="1:118" s="21" customFormat="1" ht="13" hidden="1" outlineLevel="1" x14ac:dyDescent="0.15">
      <c r="A54" s="121"/>
      <c r="B54" s="397"/>
      <c r="C54" s="397"/>
      <c r="D54" s="391"/>
      <c r="E54" s="403"/>
      <c r="F54" s="391"/>
      <c r="G54" s="404"/>
      <c r="H54" s="133" t="e">
        <f>IF(D54="vehicle-mile",VLOOKUP(E54,'Emissions Factors'!$B$211:$F$213,3,FALSE),VLOOKUP(E54,'Emissions Factors'!$B$214:$F$217,3,FALSE))</f>
        <v>#N/A</v>
      </c>
      <c r="I54" s="133" t="e">
        <f>IF(D54="vehicle-mile",VLOOKUP(E54,'Emissions Factors'!$B$211:$F$213,4,FALSE),VLOOKUP(E54,'Emissions Factors'!$B$214:$F$217,4,FALSE))</f>
        <v>#N/A</v>
      </c>
      <c r="J54" s="133" t="e">
        <f>IF(D54="vehicle-mile",VLOOKUP(E54,'Emissions Factors'!$B$211:$F$213,5,FALSE),VLOOKUP(E54,'Emissions Factors'!$B$214:$F$217,5,FALSE))</f>
        <v>#N/A</v>
      </c>
      <c r="K54" s="134">
        <f>'Emissions Factors'!$C$75</f>
        <v>28</v>
      </c>
      <c r="L54" s="134">
        <f>'Emissions Factors'!$C$76</f>
        <v>265</v>
      </c>
      <c r="M54" s="136" t="e">
        <f t="shared" si="5"/>
        <v>#N/A</v>
      </c>
      <c r="N54" s="136" t="e">
        <f t="shared" si="6"/>
        <v>#N/A</v>
      </c>
      <c r="O54" s="136" t="e">
        <f t="shared" si="7"/>
        <v>#N/A</v>
      </c>
      <c r="P54" s="132" t="str">
        <f t="shared" si="8"/>
        <v/>
      </c>
      <c r="Q54" s="418" t="str">
        <f t="shared" si="4"/>
        <v/>
      </c>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1"/>
      <c r="BW54" s="121"/>
      <c r="BX54" s="121"/>
      <c r="BY54" s="121"/>
      <c r="BZ54" s="121"/>
      <c r="CA54" s="121"/>
      <c r="CB54" s="121"/>
      <c r="CC54" s="121"/>
      <c r="CD54" s="121"/>
      <c r="CE54" s="121"/>
      <c r="CF54" s="121"/>
      <c r="CG54" s="121"/>
      <c r="CH54" s="121"/>
      <c r="CI54" s="121"/>
      <c r="CJ54" s="121"/>
      <c r="CK54" s="121"/>
      <c r="CL54" s="121"/>
      <c r="CM54" s="121"/>
      <c r="CN54" s="121"/>
      <c r="CO54" s="121"/>
      <c r="CP54" s="121"/>
      <c r="CQ54" s="121"/>
      <c r="CR54" s="121"/>
      <c r="CS54" s="121"/>
      <c r="CT54" s="121"/>
      <c r="CU54" s="121"/>
      <c r="CV54" s="121"/>
      <c r="CW54" s="121"/>
      <c r="CX54" s="121"/>
      <c r="CY54" s="121"/>
      <c r="CZ54" s="121"/>
      <c r="DA54" s="121"/>
      <c r="DB54" s="121"/>
      <c r="DC54" s="121"/>
      <c r="DD54" s="121"/>
      <c r="DE54" s="121"/>
      <c r="DF54" s="121"/>
      <c r="DG54" s="121"/>
      <c r="DH54" s="121"/>
      <c r="DI54" s="121"/>
      <c r="DJ54" s="121"/>
      <c r="DK54" s="121"/>
      <c r="DL54" s="121"/>
      <c r="DM54" s="121"/>
      <c r="DN54" s="121"/>
    </row>
    <row r="55" spans="1:118" s="21" customFormat="1" ht="13" hidden="1" outlineLevel="1" x14ac:dyDescent="0.15">
      <c r="A55" s="121"/>
      <c r="B55" s="397"/>
      <c r="C55" s="397"/>
      <c r="D55" s="391"/>
      <c r="E55" s="403"/>
      <c r="F55" s="391"/>
      <c r="G55" s="404"/>
      <c r="H55" s="133" t="e">
        <f>IF(D55="vehicle-mile",VLOOKUP(E55,'Emissions Factors'!$B$211:$F$213,3,FALSE),VLOOKUP(E55,'Emissions Factors'!$B$214:$F$217,3,FALSE))</f>
        <v>#N/A</v>
      </c>
      <c r="I55" s="133" t="e">
        <f>IF(D55="vehicle-mile",VLOOKUP(E55,'Emissions Factors'!$B$211:$F$213,4,FALSE),VLOOKUP(E55,'Emissions Factors'!$B$214:$F$217,4,FALSE))</f>
        <v>#N/A</v>
      </c>
      <c r="J55" s="133" t="e">
        <f>IF(D55="vehicle-mile",VLOOKUP(E55,'Emissions Factors'!$B$211:$F$213,5,FALSE),VLOOKUP(E55,'Emissions Factors'!$B$214:$F$217,5,FALSE))</f>
        <v>#N/A</v>
      </c>
      <c r="K55" s="134">
        <f>'Emissions Factors'!$C$75</f>
        <v>28</v>
      </c>
      <c r="L55" s="134">
        <f>'Emissions Factors'!$C$76</f>
        <v>265</v>
      </c>
      <c r="M55" s="136" t="e">
        <f t="shared" si="5"/>
        <v>#N/A</v>
      </c>
      <c r="N55" s="136" t="e">
        <f t="shared" si="6"/>
        <v>#N/A</v>
      </c>
      <c r="O55" s="136" t="e">
        <f t="shared" si="7"/>
        <v>#N/A</v>
      </c>
      <c r="P55" s="132" t="str">
        <f t="shared" si="8"/>
        <v/>
      </c>
      <c r="Q55" s="418" t="str">
        <f t="shared" si="4"/>
        <v/>
      </c>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row>
    <row r="56" spans="1:118" s="21" customFormat="1" ht="13" hidden="1" outlineLevel="1" x14ac:dyDescent="0.15">
      <c r="A56" s="121"/>
      <c r="B56" s="397"/>
      <c r="C56" s="397"/>
      <c r="D56" s="391"/>
      <c r="E56" s="403"/>
      <c r="F56" s="391"/>
      <c r="G56" s="404"/>
      <c r="H56" s="133" t="e">
        <f>IF(D56="vehicle-mile",VLOOKUP(E56,'Emissions Factors'!$B$211:$F$213,3,FALSE),VLOOKUP(E56,'Emissions Factors'!$B$214:$F$217,3,FALSE))</f>
        <v>#N/A</v>
      </c>
      <c r="I56" s="133" t="e">
        <f>IF(D56="vehicle-mile",VLOOKUP(E56,'Emissions Factors'!$B$211:$F$213,4,FALSE),VLOOKUP(E56,'Emissions Factors'!$B$214:$F$217,4,FALSE))</f>
        <v>#N/A</v>
      </c>
      <c r="J56" s="133" t="e">
        <f>IF(D56="vehicle-mile",VLOOKUP(E56,'Emissions Factors'!$B$211:$F$213,5,FALSE),VLOOKUP(E56,'Emissions Factors'!$B$214:$F$217,5,FALSE))</f>
        <v>#N/A</v>
      </c>
      <c r="K56" s="134">
        <f>'Emissions Factors'!$C$75</f>
        <v>28</v>
      </c>
      <c r="L56" s="134">
        <f>'Emissions Factors'!$C$76</f>
        <v>265</v>
      </c>
      <c r="M56" s="136" t="e">
        <f t="shared" si="5"/>
        <v>#N/A</v>
      </c>
      <c r="N56" s="136" t="e">
        <f t="shared" si="6"/>
        <v>#N/A</v>
      </c>
      <c r="O56" s="136" t="e">
        <f t="shared" si="7"/>
        <v>#N/A</v>
      </c>
      <c r="P56" s="132" t="str">
        <f t="shared" si="8"/>
        <v/>
      </c>
      <c r="Q56" s="418" t="str">
        <f t="shared" si="4"/>
        <v/>
      </c>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row>
    <row r="57" spans="1:118" s="21" customFormat="1" ht="13" hidden="1" outlineLevel="1" x14ac:dyDescent="0.15">
      <c r="A57" s="121"/>
      <c r="B57" s="397"/>
      <c r="C57" s="397"/>
      <c r="D57" s="391"/>
      <c r="E57" s="403"/>
      <c r="F57" s="391"/>
      <c r="G57" s="404"/>
      <c r="H57" s="133" t="e">
        <f>IF(D57="vehicle-mile",VLOOKUP(E57,'Emissions Factors'!$B$211:$F$213,3,FALSE),VLOOKUP(E57,'Emissions Factors'!$B$214:$F$217,3,FALSE))</f>
        <v>#N/A</v>
      </c>
      <c r="I57" s="133" t="e">
        <f>IF(D57="vehicle-mile",VLOOKUP(E57,'Emissions Factors'!$B$211:$F$213,4,FALSE),VLOOKUP(E57,'Emissions Factors'!$B$214:$F$217,4,FALSE))</f>
        <v>#N/A</v>
      </c>
      <c r="J57" s="133" t="e">
        <f>IF(D57="vehicle-mile",VLOOKUP(E57,'Emissions Factors'!$B$211:$F$213,5,FALSE),VLOOKUP(E57,'Emissions Factors'!$B$214:$F$217,5,FALSE))</f>
        <v>#N/A</v>
      </c>
      <c r="K57" s="134">
        <f>'Emissions Factors'!$C$75</f>
        <v>28</v>
      </c>
      <c r="L57" s="134">
        <f>'Emissions Factors'!$C$76</f>
        <v>265</v>
      </c>
      <c r="M57" s="136" t="e">
        <f t="shared" si="5"/>
        <v>#N/A</v>
      </c>
      <c r="N57" s="136" t="e">
        <f t="shared" si="6"/>
        <v>#N/A</v>
      </c>
      <c r="O57" s="136" t="e">
        <f t="shared" si="7"/>
        <v>#N/A</v>
      </c>
      <c r="P57" s="132" t="str">
        <f t="shared" si="8"/>
        <v/>
      </c>
      <c r="Q57" s="418" t="str">
        <f t="shared" si="4"/>
        <v/>
      </c>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1"/>
      <c r="DF57" s="121"/>
      <c r="DG57" s="121"/>
      <c r="DH57" s="121"/>
      <c r="DI57" s="121"/>
      <c r="DJ57" s="121"/>
      <c r="DK57" s="121"/>
      <c r="DL57" s="121"/>
      <c r="DM57" s="121"/>
      <c r="DN57" s="121"/>
    </row>
    <row r="58" spans="1:118" s="21" customFormat="1" ht="13" hidden="1" outlineLevel="1" x14ac:dyDescent="0.15">
      <c r="A58" s="121"/>
      <c r="B58" s="397"/>
      <c r="C58" s="397"/>
      <c r="D58" s="391"/>
      <c r="E58" s="403"/>
      <c r="F58" s="391"/>
      <c r="G58" s="404"/>
      <c r="H58" s="133" t="e">
        <f>IF(D58="vehicle-mile",VLOOKUP(E58,'Emissions Factors'!$B$211:$F$213,3,FALSE),VLOOKUP(E58,'Emissions Factors'!$B$214:$F$217,3,FALSE))</f>
        <v>#N/A</v>
      </c>
      <c r="I58" s="133" t="e">
        <f>IF(D58="vehicle-mile",VLOOKUP(E58,'Emissions Factors'!$B$211:$F$213,4,FALSE),VLOOKUP(E58,'Emissions Factors'!$B$214:$F$217,4,FALSE))</f>
        <v>#N/A</v>
      </c>
      <c r="J58" s="133" t="e">
        <f>IF(D58="vehicle-mile",VLOOKUP(E58,'Emissions Factors'!$B$211:$F$213,5,FALSE),VLOOKUP(E58,'Emissions Factors'!$B$214:$F$217,5,FALSE))</f>
        <v>#N/A</v>
      </c>
      <c r="K58" s="134">
        <f>'Emissions Factors'!$C$75</f>
        <v>28</v>
      </c>
      <c r="L58" s="134">
        <f>'Emissions Factors'!$C$76</f>
        <v>265</v>
      </c>
      <c r="M58" s="136" t="e">
        <f t="shared" si="5"/>
        <v>#N/A</v>
      </c>
      <c r="N58" s="136" t="e">
        <f t="shared" si="6"/>
        <v>#N/A</v>
      </c>
      <c r="O58" s="136" t="e">
        <f t="shared" si="7"/>
        <v>#N/A</v>
      </c>
      <c r="P58" s="132" t="str">
        <f t="shared" si="8"/>
        <v/>
      </c>
      <c r="Q58" s="418" t="str">
        <f t="shared" si="4"/>
        <v/>
      </c>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1"/>
      <c r="CP58" s="121"/>
      <c r="CQ58" s="121"/>
      <c r="CR58" s="121"/>
      <c r="CS58" s="121"/>
      <c r="CT58" s="121"/>
      <c r="CU58" s="121"/>
      <c r="CV58" s="121"/>
      <c r="CW58" s="121"/>
      <c r="CX58" s="121"/>
      <c r="CY58" s="121"/>
      <c r="CZ58" s="121"/>
      <c r="DA58" s="121"/>
      <c r="DB58" s="121"/>
      <c r="DC58" s="121"/>
      <c r="DD58" s="121"/>
      <c r="DE58" s="121"/>
      <c r="DF58" s="121"/>
      <c r="DG58" s="121"/>
      <c r="DH58" s="121"/>
      <c r="DI58" s="121"/>
      <c r="DJ58" s="121"/>
      <c r="DK58" s="121"/>
      <c r="DL58" s="121"/>
      <c r="DM58" s="121"/>
      <c r="DN58" s="121"/>
    </row>
    <row r="59" spans="1:118" s="21" customFormat="1" ht="13" hidden="1" outlineLevel="1" x14ac:dyDescent="0.15">
      <c r="A59" s="121"/>
      <c r="B59" s="397"/>
      <c r="C59" s="397"/>
      <c r="D59" s="391"/>
      <c r="E59" s="403"/>
      <c r="F59" s="391"/>
      <c r="G59" s="404"/>
      <c r="H59" s="133" t="e">
        <f>IF(D59="vehicle-mile",VLOOKUP(E59,'Emissions Factors'!$B$211:$F$213,3,FALSE),VLOOKUP(E59,'Emissions Factors'!$B$214:$F$217,3,FALSE))</f>
        <v>#N/A</v>
      </c>
      <c r="I59" s="133" t="e">
        <f>IF(D59="vehicle-mile",VLOOKUP(E59,'Emissions Factors'!$B$211:$F$213,4,FALSE),VLOOKUP(E59,'Emissions Factors'!$B$214:$F$217,4,FALSE))</f>
        <v>#N/A</v>
      </c>
      <c r="J59" s="133" t="e">
        <f>IF(D59="vehicle-mile",VLOOKUP(E59,'Emissions Factors'!$B$211:$F$213,5,FALSE),VLOOKUP(E59,'Emissions Factors'!$B$214:$F$217,5,FALSE))</f>
        <v>#N/A</v>
      </c>
      <c r="K59" s="134">
        <f>'Emissions Factors'!$C$75</f>
        <v>28</v>
      </c>
      <c r="L59" s="134">
        <f>'Emissions Factors'!$C$76</f>
        <v>265</v>
      </c>
      <c r="M59" s="136" t="e">
        <f t="shared" si="5"/>
        <v>#N/A</v>
      </c>
      <c r="N59" s="136" t="e">
        <f t="shared" si="6"/>
        <v>#N/A</v>
      </c>
      <c r="O59" s="136" t="e">
        <f t="shared" si="7"/>
        <v>#N/A</v>
      </c>
      <c r="P59" s="132" t="str">
        <f t="shared" si="8"/>
        <v/>
      </c>
      <c r="Q59" s="418" t="str">
        <f t="shared" si="4"/>
        <v/>
      </c>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1"/>
      <c r="BR59" s="121"/>
      <c r="BS59" s="121"/>
      <c r="BT59" s="121"/>
      <c r="BU59" s="121"/>
      <c r="BV59" s="121"/>
      <c r="BW59" s="121"/>
      <c r="BX59" s="121"/>
      <c r="BY59" s="121"/>
      <c r="BZ59" s="121"/>
      <c r="CA59" s="121"/>
      <c r="CB59" s="121"/>
      <c r="CC59" s="121"/>
      <c r="CD59" s="121"/>
      <c r="CE59" s="121"/>
      <c r="CF59" s="121"/>
      <c r="CG59" s="121"/>
      <c r="CH59" s="121"/>
      <c r="CI59" s="121"/>
      <c r="CJ59" s="121"/>
      <c r="CK59" s="121"/>
      <c r="CL59" s="121"/>
      <c r="CM59" s="121"/>
      <c r="CN59" s="121"/>
      <c r="CO59" s="121"/>
      <c r="CP59" s="121"/>
      <c r="CQ59" s="121"/>
      <c r="CR59" s="121"/>
      <c r="CS59" s="121"/>
      <c r="CT59" s="121"/>
      <c r="CU59" s="121"/>
      <c r="CV59" s="121"/>
      <c r="CW59" s="121"/>
      <c r="CX59" s="121"/>
      <c r="CY59" s="121"/>
      <c r="CZ59" s="121"/>
      <c r="DA59" s="121"/>
      <c r="DB59" s="121"/>
      <c r="DC59" s="121"/>
      <c r="DD59" s="121"/>
      <c r="DE59" s="121"/>
      <c r="DF59" s="121"/>
      <c r="DG59" s="121"/>
      <c r="DH59" s="121"/>
      <c r="DI59" s="121"/>
      <c r="DJ59" s="121"/>
      <c r="DK59" s="121"/>
      <c r="DL59" s="121"/>
      <c r="DM59" s="121"/>
      <c r="DN59" s="121"/>
    </row>
    <row r="60" spans="1:118" s="21" customFormat="1" ht="13" hidden="1" outlineLevel="1" x14ac:dyDescent="0.15">
      <c r="A60" s="121"/>
      <c r="B60" s="397"/>
      <c r="C60" s="397"/>
      <c r="D60" s="391"/>
      <c r="E60" s="403"/>
      <c r="F60" s="391"/>
      <c r="G60" s="404"/>
      <c r="H60" s="133" t="e">
        <f>IF(D60="vehicle-mile",VLOOKUP(E60,'Emissions Factors'!$B$211:$F$213,3,FALSE),VLOOKUP(E60,'Emissions Factors'!$B$214:$F$217,3,FALSE))</f>
        <v>#N/A</v>
      </c>
      <c r="I60" s="133" t="e">
        <f>IF(D60="vehicle-mile",VLOOKUP(E60,'Emissions Factors'!$B$211:$F$213,4,FALSE),VLOOKUP(E60,'Emissions Factors'!$B$214:$F$217,4,FALSE))</f>
        <v>#N/A</v>
      </c>
      <c r="J60" s="133" t="e">
        <f>IF(D60="vehicle-mile",VLOOKUP(E60,'Emissions Factors'!$B$211:$F$213,5,FALSE),VLOOKUP(E60,'Emissions Factors'!$B$214:$F$217,5,FALSE))</f>
        <v>#N/A</v>
      </c>
      <c r="K60" s="134">
        <f>'Emissions Factors'!$C$75</f>
        <v>28</v>
      </c>
      <c r="L60" s="134">
        <f>'Emissions Factors'!$C$76</f>
        <v>265</v>
      </c>
      <c r="M60" s="136" t="e">
        <f t="shared" si="5"/>
        <v>#N/A</v>
      </c>
      <c r="N60" s="136" t="e">
        <f t="shared" si="6"/>
        <v>#N/A</v>
      </c>
      <c r="O60" s="136" t="e">
        <f t="shared" si="7"/>
        <v>#N/A</v>
      </c>
      <c r="P60" s="132" t="str">
        <f t="shared" si="8"/>
        <v/>
      </c>
      <c r="Q60" s="418" t="str">
        <f t="shared" si="4"/>
        <v/>
      </c>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c r="BJ60" s="121"/>
      <c r="BK60" s="121"/>
      <c r="BL60" s="121"/>
      <c r="BM60" s="121"/>
      <c r="BN60" s="121"/>
      <c r="BO60" s="121"/>
      <c r="BP60" s="121"/>
      <c r="BQ60" s="121"/>
      <c r="BR60" s="121"/>
      <c r="BS60" s="121"/>
      <c r="BT60" s="121"/>
      <c r="BU60" s="121"/>
      <c r="BV60" s="121"/>
      <c r="BW60" s="121"/>
      <c r="BX60" s="121"/>
      <c r="BY60" s="121"/>
      <c r="BZ60" s="121"/>
      <c r="CA60" s="121"/>
      <c r="CB60" s="121"/>
      <c r="CC60" s="121"/>
      <c r="CD60" s="121"/>
      <c r="CE60" s="121"/>
      <c r="CF60" s="121"/>
      <c r="CG60" s="121"/>
      <c r="CH60" s="121"/>
      <c r="CI60" s="121"/>
      <c r="CJ60" s="121"/>
      <c r="CK60" s="121"/>
      <c r="CL60" s="121"/>
      <c r="CM60" s="121"/>
      <c r="CN60" s="121"/>
      <c r="CO60" s="121"/>
      <c r="CP60" s="121"/>
      <c r="CQ60" s="121"/>
      <c r="CR60" s="121"/>
      <c r="CS60" s="121"/>
      <c r="CT60" s="121"/>
      <c r="CU60" s="121"/>
      <c r="CV60" s="121"/>
      <c r="CW60" s="121"/>
      <c r="CX60" s="121"/>
      <c r="CY60" s="121"/>
      <c r="CZ60" s="121"/>
      <c r="DA60" s="121"/>
      <c r="DB60" s="121"/>
      <c r="DC60" s="121"/>
      <c r="DD60" s="121"/>
      <c r="DE60" s="121"/>
      <c r="DF60" s="121"/>
      <c r="DG60" s="121"/>
      <c r="DH60" s="121"/>
      <c r="DI60" s="121"/>
      <c r="DJ60" s="121"/>
      <c r="DK60" s="121"/>
      <c r="DL60" s="121"/>
      <c r="DM60" s="121"/>
      <c r="DN60" s="121"/>
    </row>
    <row r="61" spans="1:118" s="21" customFormat="1" ht="13" hidden="1" outlineLevel="1" x14ac:dyDescent="0.15">
      <c r="A61" s="121"/>
      <c r="B61" s="397"/>
      <c r="C61" s="397"/>
      <c r="D61" s="391"/>
      <c r="E61" s="403"/>
      <c r="F61" s="391"/>
      <c r="G61" s="404"/>
      <c r="H61" s="133" t="e">
        <f>IF(D61="vehicle-mile",VLOOKUP(E61,'Emissions Factors'!$B$211:$F$213,3,FALSE),VLOOKUP(E61,'Emissions Factors'!$B$214:$F$217,3,FALSE))</f>
        <v>#N/A</v>
      </c>
      <c r="I61" s="133" t="e">
        <f>IF(D61="vehicle-mile",VLOOKUP(E61,'Emissions Factors'!$B$211:$F$213,4,FALSE),VLOOKUP(E61,'Emissions Factors'!$B$214:$F$217,4,FALSE))</f>
        <v>#N/A</v>
      </c>
      <c r="J61" s="133" t="e">
        <f>IF(D61="vehicle-mile",VLOOKUP(E61,'Emissions Factors'!$B$211:$F$213,5,FALSE),VLOOKUP(E61,'Emissions Factors'!$B$214:$F$217,5,FALSE))</f>
        <v>#N/A</v>
      </c>
      <c r="K61" s="134">
        <f>'Emissions Factors'!$C$75</f>
        <v>28</v>
      </c>
      <c r="L61" s="134">
        <f>'Emissions Factors'!$C$76</f>
        <v>265</v>
      </c>
      <c r="M61" s="136" t="e">
        <f t="shared" si="5"/>
        <v>#N/A</v>
      </c>
      <c r="N61" s="136" t="e">
        <f t="shared" si="6"/>
        <v>#N/A</v>
      </c>
      <c r="O61" s="136" t="e">
        <f t="shared" si="7"/>
        <v>#N/A</v>
      </c>
      <c r="P61" s="132" t="str">
        <f t="shared" si="8"/>
        <v/>
      </c>
      <c r="Q61" s="418" t="str">
        <f t="shared" si="4"/>
        <v/>
      </c>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1"/>
      <c r="CA61" s="121"/>
      <c r="CB61" s="121"/>
      <c r="CC61" s="121"/>
      <c r="CD61" s="121"/>
      <c r="CE61" s="121"/>
      <c r="CF61" s="121"/>
      <c r="CG61" s="121"/>
      <c r="CH61" s="121"/>
      <c r="CI61" s="121"/>
      <c r="CJ61" s="121"/>
      <c r="CK61" s="121"/>
      <c r="CL61" s="121"/>
      <c r="CM61" s="121"/>
      <c r="CN61" s="121"/>
      <c r="CO61" s="121"/>
      <c r="CP61" s="121"/>
      <c r="CQ61" s="121"/>
      <c r="CR61" s="121"/>
      <c r="CS61" s="121"/>
      <c r="CT61" s="121"/>
      <c r="CU61" s="121"/>
      <c r="CV61" s="121"/>
      <c r="CW61" s="121"/>
      <c r="CX61" s="121"/>
      <c r="CY61" s="121"/>
      <c r="CZ61" s="121"/>
      <c r="DA61" s="121"/>
      <c r="DB61" s="121"/>
      <c r="DC61" s="121"/>
      <c r="DD61" s="121"/>
      <c r="DE61" s="121"/>
      <c r="DF61" s="121"/>
      <c r="DG61" s="121"/>
      <c r="DH61" s="121"/>
      <c r="DI61" s="121"/>
      <c r="DJ61" s="121"/>
      <c r="DK61" s="121"/>
      <c r="DL61" s="121"/>
      <c r="DM61" s="121"/>
      <c r="DN61" s="121"/>
    </row>
    <row r="62" spans="1:118" s="21" customFormat="1" ht="13" hidden="1" outlineLevel="1" x14ac:dyDescent="0.15">
      <c r="A62" s="121"/>
      <c r="B62" s="397"/>
      <c r="C62" s="397"/>
      <c r="D62" s="391"/>
      <c r="E62" s="403"/>
      <c r="F62" s="391"/>
      <c r="G62" s="404"/>
      <c r="H62" s="133" t="e">
        <f>IF(D62="vehicle-mile",VLOOKUP(E62,'Emissions Factors'!$B$211:$F$213,3,FALSE),VLOOKUP(E62,'Emissions Factors'!$B$214:$F$217,3,FALSE))</f>
        <v>#N/A</v>
      </c>
      <c r="I62" s="133" t="e">
        <f>IF(D62="vehicle-mile",VLOOKUP(E62,'Emissions Factors'!$B$211:$F$213,4,FALSE),VLOOKUP(E62,'Emissions Factors'!$B$214:$F$217,4,FALSE))</f>
        <v>#N/A</v>
      </c>
      <c r="J62" s="133" t="e">
        <f>IF(D62="vehicle-mile",VLOOKUP(E62,'Emissions Factors'!$B$211:$F$213,5,FALSE),VLOOKUP(E62,'Emissions Factors'!$B$214:$F$217,5,FALSE))</f>
        <v>#N/A</v>
      </c>
      <c r="K62" s="134">
        <f>'Emissions Factors'!$C$75</f>
        <v>28</v>
      </c>
      <c r="L62" s="134">
        <f>'Emissions Factors'!$C$76</f>
        <v>265</v>
      </c>
      <c r="M62" s="136" t="e">
        <f t="shared" si="5"/>
        <v>#N/A</v>
      </c>
      <c r="N62" s="136" t="e">
        <f t="shared" si="6"/>
        <v>#N/A</v>
      </c>
      <c r="O62" s="136" t="e">
        <f t="shared" si="7"/>
        <v>#N/A</v>
      </c>
      <c r="P62" s="132" t="str">
        <f t="shared" si="8"/>
        <v/>
      </c>
      <c r="Q62" s="418" t="str">
        <f t="shared" si="4"/>
        <v/>
      </c>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21"/>
      <c r="CI62" s="121"/>
      <c r="CJ62" s="121"/>
      <c r="CK62" s="121"/>
      <c r="CL62" s="121"/>
      <c r="CM62" s="121"/>
      <c r="CN62" s="121"/>
      <c r="CO62" s="121"/>
      <c r="CP62" s="121"/>
      <c r="CQ62" s="121"/>
      <c r="CR62" s="121"/>
      <c r="CS62" s="121"/>
      <c r="CT62" s="121"/>
      <c r="CU62" s="121"/>
      <c r="CV62" s="121"/>
      <c r="CW62" s="121"/>
      <c r="CX62" s="121"/>
      <c r="CY62" s="121"/>
      <c r="CZ62" s="121"/>
      <c r="DA62" s="121"/>
      <c r="DB62" s="121"/>
      <c r="DC62" s="121"/>
      <c r="DD62" s="121"/>
      <c r="DE62" s="121"/>
      <c r="DF62" s="121"/>
      <c r="DG62" s="121"/>
      <c r="DH62" s="121"/>
      <c r="DI62" s="121"/>
      <c r="DJ62" s="121"/>
      <c r="DK62" s="121"/>
      <c r="DL62" s="121"/>
      <c r="DM62" s="121"/>
      <c r="DN62" s="121"/>
    </row>
    <row r="63" spans="1:118" s="21" customFormat="1" ht="13" hidden="1" outlineLevel="1" x14ac:dyDescent="0.15">
      <c r="A63" s="121"/>
      <c r="B63" s="397"/>
      <c r="C63" s="397"/>
      <c r="D63" s="391"/>
      <c r="E63" s="403"/>
      <c r="F63" s="391"/>
      <c r="G63" s="404"/>
      <c r="H63" s="133" t="e">
        <f>IF(D63="vehicle-mile",VLOOKUP(E63,'Emissions Factors'!$B$211:$F$213,3,FALSE),VLOOKUP(E63,'Emissions Factors'!$B$214:$F$217,3,FALSE))</f>
        <v>#N/A</v>
      </c>
      <c r="I63" s="133" t="e">
        <f>IF(D63="vehicle-mile",VLOOKUP(E63,'Emissions Factors'!$B$211:$F$213,4,FALSE),VLOOKUP(E63,'Emissions Factors'!$B$214:$F$217,4,FALSE))</f>
        <v>#N/A</v>
      </c>
      <c r="J63" s="133" t="e">
        <f>IF(D63="vehicle-mile",VLOOKUP(E63,'Emissions Factors'!$B$211:$F$213,5,FALSE),VLOOKUP(E63,'Emissions Factors'!$B$214:$F$217,5,FALSE))</f>
        <v>#N/A</v>
      </c>
      <c r="K63" s="134">
        <f>'Emissions Factors'!$C$75</f>
        <v>28</v>
      </c>
      <c r="L63" s="134">
        <f>'Emissions Factors'!$C$76</f>
        <v>265</v>
      </c>
      <c r="M63" s="136" t="e">
        <f t="shared" si="5"/>
        <v>#N/A</v>
      </c>
      <c r="N63" s="136" t="e">
        <f t="shared" si="6"/>
        <v>#N/A</v>
      </c>
      <c r="O63" s="136" t="e">
        <f t="shared" si="7"/>
        <v>#N/A</v>
      </c>
      <c r="P63" s="132" t="str">
        <f t="shared" si="8"/>
        <v/>
      </c>
      <c r="Q63" s="418" t="str">
        <f t="shared" si="4"/>
        <v/>
      </c>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1"/>
      <c r="CC63" s="121"/>
      <c r="CD63" s="121"/>
      <c r="CE63" s="121"/>
      <c r="CF63" s="121"/>
      <c r="CG63" s="121"/>
      <c r="CH63" s="121"/>
      <c r="CI63" s="121"/>
      <c r="CJ63" s="121"/>
      <c r="CK63" s="121"/>
      <c r="CL63" s="121"/>
      <c r="CM63" s="121"/>
      <c r="CN63" s="121"/>
      <c r="CO63" s="121"/>
      <c r="CP63" s="121"/>
      <c r="CQ63" s="121"/>
      <c r="CR63" s="121"/>
      <c r="CS63" s="121"/>
      <c r="CT63" s="121"/>
      <c r="CU63" s="121"/>
      <c r="CV63" s="121"/>
      <c r="CW63" s="121"/>
      <c r="CX63" s="121"/>
      <c r="CY63" s="121"/>
      <c r="CZ63" s="121"/>
      <c r="DA63" s="121"/>
      <c r="DB63" s="121"/>
      <c r="DC63" s="121"/>
      <c r="DD63" s="121"/>
      <c r="DE63" s="121"/>
      <c r="DF63" s="121"/>
      <c r="DG63" s="121"/>
      <c r="DH63" s="121"/>
      <c r="DI63" s="121"/>
      <c r="DJ63" s="121"/>
      <c r="DK63" s="121"/>
      <c r="DL63" s="121"/>
      <c r="DM63" s="121"/>
      <c r="DN63" s="121"/>
    </row>
    <row r="64" spans="1:118" s="21" customFormat="1" ht="13" hidden="1" outlineLevel="1" x14ac:dyDescent="0.15">
      <c r="A64" s="121"/>
      <c r="B64" s="397"/>
      <c r="C64" s="397"/>
      <c r="D64" s="391"/>
      <c r="E64" s="403"/>
      <c r="F64" s="391"/>
      <c r="G64" s="404"/>
      <c r="H64" s="133" t="e">
        <f>IF(D64="vehicle-mile",VLOOKUP(E64,'Emissions Factors'!$B$211:$F$213,3,FALSE),VLOOKUP(E64,'Emissions Factors'!$B$214:$F$217,3,FALSE))</f>
        <v>#N/A</v>
      </c>
      <c r="I64" s="133" t="e">
        <f>IF(D64="vehicle-mile",VLOOKUP(E64,'Emissions Factors'!$B$211:$F$213,4,FALSE),VLOOKUP(E64,'Emissions Factors'!$B$214:$F$217,4,FALSE))</f>
        <v>#N/A</v>
      </c>
      <c r="J64" s="133" t="e">
        <f>IF(D64="vehicle-mile",VLOOKUP(E64,'Emissions Factors'!$B$211:$F$213,5,FALSE),VLOOKUP(E64,'Emissions Factors'!$B$214:$F$217,5,FALSE))</f>
        <v>#N/A</v>
      </c>
      <c r="K64" s="134">
        <f>'Emissions Factors'!$C$75</f>
        <v>28</v>
      </c>
      <c r="L64" s="134">
        <f>'Emissions Factors'!$C$76</f>
        <v>265</v>
      </c>
      <c r="M64" s="136" t="e">
        <f t="shared" si="5"/>
        <v>#N/A</v>
      </c>
      <c r="N64" s="136" t="e">
        <f t="shared" si="6"/>
        <v>#N/A</v>
      </c>
      <c r="O64" s="136" t="e">
        <f t="shared" si="7"/>
        <v>#N/A</v>
      </c>
      <c r="P64" s="132" t="str">
        <f t="shared" si="8"/>
        <v/>
      </c>
      <c r="Q64" s="418" t="str">
        <f t="shared" si="4"/>
        <v/>
      </c>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c r="CQ64" s="121"/>
      <c r="CR64" s="121"/>
      <c r="CS64" s="121"/>
      <c r="CT64" s="121"/>
      <c r="CU64" s="121"/>
      <c r="CV64" s="121"/>
      <c r="CW64" s="121"/>
      <c r="CX64" s="121"/>
      <c r="CY64" s="121"/>
      <c r="CZ64" s="121"/>
      <c r="DA64" s="121"/>
      <c r="DB64" s="121"/>
      <c r="DC64" s="121"/>
      <c r="DD64" s="121"/>
      <c r="DE64" s="121"/>
      <c r="DF64" s="121"/>
      <c r="DG64" s="121"/>
      <c r="DH64" s="121"/>
      <c r="DI64" s="121"/>
      <c r="DJ64" s="121"/>
      <c r="DK64" s="121"/>
      <c r="DL64" s="121"/>
      <c r="DM64" s="121"/>
      <c r="DN64" s="121"/>
    </row>
    <row r="65" spans="1:118" s="21" customFormat="1" ht="13" hidden="1" outlineLevel="1" x14ac:dyDescent="0.15">
      <c r="A65" s="121"/>
      <c r="B65" s="397"/>
      <c r="C65" s="397"/>
      <c r="D65" s="391"/>
      <c r="E65" s="403"/>
      <c r="F65" s="391"/>
      <c r="G65" s="404"/>
      <c r="H65" s="133" t="e">
        <f>IF(D65="vehicle-mile",VLOOKUP(E65,'Emissions Factors'!$B$211:$F$213,3,FALSE),VLOOKUP(E65,'Emissions Factors'!$B$214:$F$217,3,FALSE))</f>
        <v>#N/A</v>
      </c>
      <c r="I65" s="133" t="e">
        <f>IF(D65="vehicle-mile",VLOOKUP(E65,'Emissions Factors'!$B$211:$F$213,4,FALSE),VLOOKUP(E65,'Emissions Factors'!$B$214:$F$217,4,FALSE))</f>
        <v>#N/A</v>
      </c>
      <c r="J65" s="133" t="e">
        <f>IF(D65="vehicle-mile",VLOOKUP(E65,'Emissions Factors'!$B$211:$F$213,5,FALSE),VLOOKUP(E65,'Emissions Factors'!$B$214:$F$217,5,FALSE))</f>
        <v>#N/A</v>
      </c>
      <c r="K65" s="134">
        <f>'Emissions Factors'!$C$75</f>
        <v>28</v>
      </c>
      <c r="L65" s="134">
        <f>'Emissions Factors'!$C$76</f>
        <v>265</v>
      </c>
      <c r="M65" s="136" t="e">
        <f t="shared" si="5"/>
        <v>#N/A</v>
      </c>
      <c r="N65" s="136" t="e">
        <f t="shared" si="6"/>
        <v>#N/A</v>
      </c>
      <c r="O65" s="136" t="e">
        <f t="shared" si="7"/>
        <v>#N/A</v>
      </c>
      <c r="P65" s="132" t="str">
        <f t="shared" si="8"/>
        <v/>
      </c>
      <c r="Q65" s="418" t="str">
        <f t="shared" si="4"/>
        <v/>
      </c>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1"/>
      <c r="BU65" s="121"/>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1"/>
      <c r="DF65" s="121"/>
      <c r="DG65" s="121"/>
      <c r="DH65" s="121"/>
      <c r="DI65" s="121"/>
      <c r="DJ65" s="121"/>
      <c r="DK65" s="121"/>
      <c r="DL65" s="121"/>
      <c r="DM65" s="121"/>
      <c r="DN65" s="121"/>
    </row>
    <row r="66" spans="1:118" s="21" customFormat="1" ht="13" hidden="1" outlineLevel="1" x14ac:dyDescent="0.15">
      <c r="A66" s="121"/>
      <c r="B66" s="397"/>
      <c r="C66" s="397"/>
      <c r="D66" s="391"/>
      <c r="E66" s="403"/>
      <c r="F66" s="391"/>
      <c r="G66" s="404"/>
      <c r="H66" s="133" t="e">
        <f>IF(D66="vehicle-mile",VLOOKUP(E66,'Emissions Factors'!$B$211:$F$213,3,FALSE),VLOOKUP(E66,'Emissions Factors'!$B$214:$F$217,3,FALSE))</f>
        <v>#N/A</v>
      </c>
      <c r="I66" s="133" t="e">
        <f>IF(D66="vehicle-mile",VLOOKUP(E66,'Emissions Factors'!$B$211:$F$213,4,FALSE),VLOOKUP(E66,'Emissions Factors'!$B$214:$F$217,4,FALSE))</f>
        <v>#N/A</v>
      </c>
      <c r="J66" s="133" t="e">
        <f>IF(D66="vehicle-mile",VLOOKUP(E66,'Emissions Factors'!$B$211:$F$213,5,FALSE),VLOOKUP(E66,'Emissions Factors'!$B$214:$F$217,5,FALSE))</f>
        <v>#N/A</v>
      </c>
      <c r="K66" s="134">
        <f>'Emissions Factors'!$C$75</f>
        <v>28</v>
      </c>
      <c r="L66" s="134">
        <f>'Emissions Factors'!$C$76</f>
        <v>265</v>
      </c>
      <c r="M66" s="136" t="e">
        <f t="shared" si="5"/>
        <v>#N/A</v>
      </c>
      <c r="N66" s="136" t="e">
        <f t="shared" si="6"/>
        <v>#N/A</v>
      </c>
      <c r="O66" s="136" t="e">
        <f t="shared" si="7"/>
        <v>#N/A</v>
      </c>
      <c r="P66" s="132" t="str">
        <f t="shared" si="8"/>
        <v/>
      </c>
      <c r="Q66" s="418" t="str">
        <f t="shared" si="4"/>
        <v/>
      </c>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1"/>
      <c r="BR66" s="121"/>
      <c r="BS66" s="121"/>
      <c r="BT66" s="121"/>
      <c r="BU66" s="121"/>
      <c r="BV66" s="121"/>
      <c r="BW66" s="121"/>
      <c r="BX66" s="121"/>
      <c r="BY66" s="121"/>
      <c r="BZ66" s="121"/>
      <c r="CA66" s="121"/>
      <c r="CB66" s="121"/>
      <c r="CC66" s="121"/>
      <c r="CD66" s="121"/>
      <c r="CE66" s="121"/>
      <c r="CF66" s="121"/>
      <c r="CG66" s="121"/>
      <c r="CH66" s="121"/>
      <c r="CI66" s="121"/>
      <c r="CJ66" s="121"/>
      <c r="CK66" s="121"/>
      <c r="CL66" s="121"/>
      <c r="CM66" s="121"/>
      <c r="CN66" s="121"/>
      <c r="CO66" s="121"/>
      <c r="CP66" s="121"/>
      <c r="CQ66" s="121"/>
      <c r="CR66" s="121"/>
      <c r="CS66" s="121"/>
      <c r="CT66" s="121"/>
      <c r="CU66" s="121"/>
      <c r="CV66" s="121"/>
      <c r="CW66" s="121"/>
      <c r="CX66" s="121"/>
      <c r="CY66" s="121"/>
      <c r="CZ66" s="121"/>
      <c r="DA66" s="121"/>
      <c r="DB66" s="121"/>
      <c r="DC66" s="121"/>
      <c r="DD66" s="121"/>
      <c r="DE66" s="121"/>
      <c r="DF66" s="121"/>
      <c r="DG66" s="121"/>
      <c r="DH66" s="121"/>
      <c r="DI66" s="121"/>
      <c r="DJ66" s="121"/>
      <c r="DK66" s="121"/>
      <c r="DL66" s="121"/>
      <c r="DM66" s="121"/>
      <c r="DN66" s="121"/>
    </row>
    <row r="67" spans="1:118" s="21" customFormat="1" ht="13" hidden="1" outlineLevel="1" x14ac:dyDescent="0.15">
      <c r="A67" s="121"/>
      <c r="B67" s="397"/>
      <c r="C67" s="397"/>
      <c r="D67" s="391"/>
      <c r="E67" s="403"/>
      <c r="F67" s="391"/>
      <c r="G67" s="404"/>
      <c r="H67" s="133" t="e">
        <f>IF(D67="vehicle-mile",VLOOKUP(E67,'Emissions Factors'!$B$211:$F$213,3,FALSE),VLOOKUP(E67,'Emissions Factors'!$B$214:$F$217,3,FALSE))</f>
        <v>#N/A</v>
      </c>
      <c r="I67" s="133" t="e">
        <f>IF(D67="vehicle-mile",VLOOKUP(E67,'Emissions Factors'!$B$211:$F$213,4,FALSE),VLOOKUP(E67,'Emissions Factors'!$B$214:$F$217,4,FALSE))</f>
        <v>#N/A</v>
      </c>
      <c r="J67" s="133" t="e">
        <f>IF(D67="vehicle-mile",VLOOKUP(E67,'Emissions Factors'!$B$211:$F$213,5,FALSE),VLOOKUP(E67,'Emissions Factors'!$B$214:$F$217,5,FALSE))</f>
        <v>#N/A</v>
      </c>
      <c r="K67" s="134">
        <f>'Emissions Factors'!$C$75</f>
        <v>28</v>
      </c>
      <c r="L67" s="134">
        <f>'Emissions Factors'!$C$76</f>
        <v>265</v>
      </c>
      <c r="M67" s="136" t="e">
        <f t="shared" si="5"/>
        <v>#N/A</v>
      </c>
      <c r="N67" s="136" t="e">
        <f t="shared" si="6"/>
        <v>#N/A</v>
      </c>
      <c r="O67" s="136" t="e">
        <f t="shared" si="7"/>
        <v>#N/A</v>
      </c>
      <c r="P67" s="132" t="str">
        <f t="shared" si="8"/>
        <v/>
      </c>
      <c r="Q67" s="418" t="str">
        <f t="shared" si="4"/>
        <v/>
      </c>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row>
    <row r="68" spans="1:118" s="21" customFormat="1" ht="15" hidden="1" customHeight="1" outlineLevel="1" x14ac:dyDescent="0.15">
      <c r="A68" s="121"/>
      <c r="B68" s="397"/>
      <c r="C68" s="397"/>
      <c r="D68" s="391"/>
      <c r="E68" s="403"/>
      <c r="F68" s="391"/>
      <c r="G68" s="404"/>
      <c r="H68" s="133" t="e">
        <f>IF(D68="vehicle-mile",VLOOKUP(E68,'Emissions Factors'!$B$211:$F$213,3,FALSE),VLOOKUP(E68,'Emissions Factors'!$B$214:$F$217,3,FALSE))</f>
        <v>#N/A</v>
      </c>
      <c r="I68" s="133" t="e">
        <f>IF(D68="vehicle-mile",VLOOKUP(E68,'Emissions Factors'!$B$211:$F$213,4,FALSE),VLOOKUP(E68,'Emissions Factors'!$B$214:$F$217,4,FALSE))</f>
        <v>#N/A</v>
      </c>
      <c r="J68" s="133" t="e">
        <f>IF(D68="vehicle-mile",VLOOKUP(E68,'Emissions Factors'!$B$211:$F$213,5,FALSE),VLOOKUP(E68,'Emissions Factors'!$B$214:$F$217,5,FALSE))</f>
        <v>#N/A</v>
      </c>
      <c r="K68" s="134">
        <f>'Emissions Factors'!$C$75</f>
        <v>28</v>
      </c>
      <c r="L68" s="134">
        <f>'Emissions Factors'!$C$76</f>
        <v>265</v>
      </c>
      <c r="M68" s="136" t="e">
        <f t="shared" si="5"/>
        <v>#N/A</v>
      </c>
      <c r="N68" s="136" t="e">
        <f t="shared" si="6"/>
        <v>#N/A</v>
      </c>
      <c r="O68" s="136" t="e">
        <f t="shared" si="7"/>
        <v>#N/A</v>
      </c>
      <c r="P68" s="132" t="str">
        <f t="shared" si="8"/>
        <v/>
      </c>
      <c r="Q68" s="418" t="str">
        <f t="shared" si="4"/>
        <v/>
      </c>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c r="BJ68" s="121"/>
      <c r="BK68" s="121"/>
      <c r="BL68" s="121"/>
      <c r="BM68" s="121"/>
      <c r="BN68" s="121"/>
      <c r="BO68" s="121"/>
      <c r="BP68" s="121"/>
      <c r="BQ68" s="121"/>
      <c r="BR68" s="121"/>
      <c r="BS68" s="121"/>
      <c r="BT68" s="121"/>
      <c r="BU68" s="121"/>
      <c r="BV68" s="121"/>
      <c r="BW68" s="121"/>
      <c r="BX68" s="121"/>
      <c r="BY68" s="121"/>
      <c r="BZ68" s="121"/>
      <c r="CA68" s="121"/>
      <c r="CB68" s="121"/>
      <c r="CC68" s="121"/>
      <c r="CD68" s="121"/>
      <c r="CE68" s="121"/>
      <c r="CF68" s="121"/>
      <c r="CG68" s="121"/>
      <c r="CH68" s="121"/>
      <c r="CI68" s="121"/>
      <c r="CJ68" s="121"/>
      <c r="CK68" s="121"/>
      <c r="CL68" s="121"/>
      <c r="CM68" s="121"/>
      <c r="CN68" s="121"/>
      <c r="CO68" s="121"/>
      <c r="CP68" s="121"/>
      <c r="CQ68" s="121"/>
      <c r="CR68" s="121"/>
      <c r="CS68" s="121"/>
      <c r="CT68" s="121"/>
      <c r="CU68" s="121"/>
      <c r="CV68" s="121"/>
      <c r="CW68" s="121"/>
      <c r="CX68" s="121"/>
      <c r="CY68" s="121"/>
      <c r="CZ68" s="121"/>
      <c r="DA68" s="121"/>
      <c r="DB68" s="121"/>
      <c r="DC68" s="121"/>
      <c r="DD68" s="121"/>
      <c r="DE68" s="121"/>
      <c r="DF68" s="121"/>
      <c r="DG68" s="121"/>
      <c r="DH68" s="121"/>
      <c r="DI68" s="121"/>
      <c r="DJ68" s="121"/>
      <c r="DK68" s="121"/>
      <c r="DL68" s="121"/>
      <c r="DM68" s="121"/>
      <c r="DN68" s="121"/>
    </row>
    <row r="69" spans="1:118" s="21" customFormat="1" ht="13" collapsed="1" x14ac:dyDescent="0.15">
      <c r="A69" s="121"/>
      <c r="B69" s="571" t="s">
        <v>893</v>
      </c>
      <c r="C69" s="571"/>
      <c r="D69" s="571"/>
      <c r="E69" s="571"/>
      <c r="F69" s="571"/>
      <c r="G69" s="57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1"/>
      <c r="CC69" s="121"/>
      <c r="CD69" s="121"/>
      <c r="CE69" s="121"/>
      <c r="CF69" s="121"/>
      <c r="CG69" s="121"/>
      <c r="CH69" s="121"/>
      <c r="CI69" s="121"/>
      <c r="CJ69" s="121"/>
      <c r="CK69" s="121"/>
      <c r="CL69" s="121"/>
      <c r="CM69" s="121"/>
      <c r="CN69" s="121"/>
      <c r="CO69" s="121"/>
      <c r="CP69" s="121"/>
      <c r="CQ69" s="121"/>
      <c r="CR69" s="121"/>
      <c r="CS69" s="121"/>
      <c r="CT69" s="121"/>
      <c r="CU69" s="121"/>
      <c r="CV69" s="121"/>
      <c r="CW69" s="121"/>
      <c r="CX69" s="121"/>
      <c r="CY69" s="121"/>
      <c r="CZ69" s="121"/>
      <c r="DA69" s="121"/>
      <c r="DB69" s="121"/>
      <c r="DC69" s="121"/>
      <c r="DD69" s="121"/>
      <c r="DE69" s="121"/>
      <c r="DF69" s="121"/>
      <c r="DG69" s="121"/>
      <c r="DH69" s="121"/>
      <c r="DI69" s="121"/>
      <c r="DJ69" s="121"/>
      <c r="DK69" s="121"/>
      <c r="DL69" s="121"/>
      <c r="DM69" s="121"/>
      <c r="DN69" s="121"/>
    </row>
    <row r="70" spans="1:118" s="21" customFormat="1" ht="17" customHeight="1" x14ac:dyDescent="0.15">
      <c r="A70" s="121"/>
      <c r="B70" s="496" t="s">
        <v>150</v>
      </c>
      <c r="C70" s="496"/>
      <c r="D70" s="496"/>
      <c r="E70" s="496"/>
      <c r="F70" s="496"/>
      <c r="G70" s="496"/>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1"/>
      <c r="BR70" s="121"/>
      <c r="BS70" s="121"/>
      <c r="BT70" s="121"/>
      <c r="BU70" s="121"/>
      <c r="BV70" s="121"/>
      <c r="BW70" s="121"/>
      <c r="BX70" s="121"/>
      <c r="BY70" s="121"/>
      <c r="BZ70" s="121"/>
      <c r="CA70" s="121"/>
      <c r="CB70" s="121"/>
      <c r="CC70" s="121"/>
      <c r="CD70" s="121"/>
      <c r="CE70" s="121"/>
      <c r="CF70" s="121"/>
      <c r="CG70" s="121"/>
      <c r="CH70" s="121"/>
      <c r="CI70" s="121"/>
      <c r="CJ70" s="121"/>
      <c r="CK70" s="121"/>
      <c r="CL70" s="121"/>
      <c r="CM70" s="121"/>
      <c r="CN70" s="121"/>
      <c r="CO70" s="121"/>
      <c r="CP70" s="121"/>
      <c r="CQ70" s="121"/>
      <c r="CR70" s="121"/>
      <c r="CS70" s="121"/>
      <c r="CT70" s="121"/>
      <c r="CU70" s="121"/>
      <c r="CV70" s="121"/>
      <c r="CW70" s="121"/>
      <c r="CX70" s="121"/>
      <c r="CY70" s="121"/>
      <c r="CZ70" s="121"/>
      <c r="DA70" s="121"/>
      <c r="DB70" s="121"/>
      <c r="DC70" s="121"/>
      <c r="DD70" s="121"/>
      <c r="DE70" s="121"/>
      <c r="DF70" s="121"/>
      <c r="DG70" s="121"/>
      <c r="DH70" s="121"/>
      <c r="DI70" s="121"/>
      <c r="DJ70" s="121"/>
      <c r="DK70" s="121"/>
      <c r="DL70" s="121"/>
      <c r="DM70" s="121"/>
      <c r="DN70" s="121"/>
    </row>
    <row r="71" spans="1:118" s="21" customFormat="1" ht="32" customHeight="1" x14ac:dyDescent="0.15">
      <c r="A71" s="121"/>
      <c r="B71" s="574" t="s">
        <v>151</v>
      </c>
      <c r="C71" s="574"/>
      <c r="D71" s="574"/>
      <c r="E71" s="574"/>
      <c r="F71" s="574"/>
      <c r="G71" s="574"/>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1"/>
      <c r="BP71" s="121"/>
      <c r="BQ71" s="121"/>
      <c r="BR71" s="121"/>
      <c r="BS71" s="121"/>
      <c r="BT71" s="121"/>
      <c r="BU71" s="121"/>
      <c r="BV71" s="121"/>
      <c r="BW71" s="121"/>
      <c r="BX71" s="121"/>
      <c r="BY71" s="121"/>
      <c r="BZ71" s="121"/>
      <c r="CA71" s="121"/>
      <c r="CB71" s="121"/>
      <c r="CC71" s="121"/>
      <c r="CD71" s="121"/>
      <c r="CE71" s="121"/>
      <c r="CF71" s="121"/>
      <c r="CG71" s="121"/>
      <c r="CH71" s="121"/>
      <c r="CI71" s="121"/>
      <c r="CJ71" s="121"/>
      <c r="CK71" s="121"/>
      <c r="CL71" s="121"/>
      <c r="CM71" s="121"/>
      <c r="CN71" s="121"/>
      <c r="CO71" s="121"/>
      <c r="CP71" s="121"/>
      <c r="CQ71" s="121"/>
      <c r="CR71" s="121"/>
      <c r="CS71" s="121"/>
      <c r="CT71" s="121"/>
      <c r="CU71" s="121"/>
      <c r="CV71" s="121"/>
      <c r="CW71" s="121"/>
      <c r="CX71" s="121"/>
      <c r="CY71" s="121"/>
      <c r="CZ71" s="121"/>
      <c r="DA71" s="121"/>
      <c r="DB71" s="121"/>
      <c r="DC71" s="121"/>
      <c r="DD71" s="121"/>
      <c r="DE71" s="121"/>
      <c r="DF71" s="121"/>
      <c r="DG71" s="121"/>
      <c r="DH71" s="121"/>
      <c r="DI71" s="121"/>
      <c r="DJ71" s="121"/>
      <c r="DK71" s="121"/>
      <c r="DL71" s="121"/>
      <c r="DM71" s="121"/>
      <c r="DN71" s="121"/>
    </row>
    <row r="72" spans="1:118" s="21" customFormat="1" ht="13" x14ac:dyDescent="0.15">
      <c r="A72" s="121"/>
      <c r="B72" s="140"/>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121"/>
      <c r="CL72" s="121"/>
      <c r="CM72" s="121"/>
      <c r="CN72" s="121"/>
      <c r="CO72" s="121"/>
      <c r="CP72" s="121"/>
      <c r="CQ72" s="121"/>
      <c r="CR72" s="121"/>
      <c r="CS72" s="121"/>
      <c r="CT72" s="121"/>
      <c r="CU72" s="121"/>
      <c r="CV72" s="121"/>
      <c r="CW72" s="121"/>
      <c r="CX72" s="121"/>
      <c r="CY72" s="121"/>
      <c r="CZ72" s="121"/>
      <c r="DA72" s="121"/>
      <c r="DB72" s="121"/>
      <c r="DC72" s="121"/>
      <c r="DD72" s="121"/>
      <c r="DE72" s="121"/>
      <c r="DF72" s="121"/>
      <c r="DG72" s="121"/>
      <c r="DH72" s="121"/>
      <c r="DI72" s="121"/>
      <c r="DJ72" s="121"/>
      <c r="DK72" s="121"/>
      <c r="DL72" s="121"/>
      <c r="DM72" s="121"/>
      <c r="DN72" s="121"/>
    </row>
    <row r="73" spans="1:118" ht="20.25" customHeight="1" x14ac:dyDescent="0.2">
      <c r="B73" s="572" t="s">
        <v>125</v>
      </c>
      <c r="C73" s="572"/>
      <c r="D73" s="572"/>
      <c r="E73" s="572"/>
      <c r="F73" s="572"/>
      <c r="G73" s="572"/>
      <c r="H73" s="2"/>
      <c r="I73" s="2"/>
      <c r="J73" s="2"/>
      <c r="K73" s="2"/>
      <c r="L73" s="2"/>
      <c r="M73" s="2"/>
      <c r="N73" s="2"/>
      <c r="O73" s="2"/>
      <c r="P73" s="2"/>
    </row>
    <row r="74" spans="1:118" x14ac:dyDescent="0.15">
      <c r="B74" s="539"/>
      <c r="C74" s="540"/>
      <c r="D74" s="540"/>
      <c r="E74" s="540"/>
      <c r="F74" s="540"/>
      <c r="G74" s="541"/>
      <c r="H74" s="2"/>
      <c r="I74" s="2"/>
      <c r="J74" s="2"/>
      <c r="K74" s="2"/>
      <c r="L74" s="2"/>
      <c r="M74" s="2"/>
      <c r="N74" s="2"/>
      <c r="O74" s="2"/>
      <c r="P74" s="2"/>
    </row>
    <row r="75" spans="1:118" x14ac:dyDescent="0.15">
      <c r="B75" s="542"/>
      <c r="C75" s="543"/>
      <c r="D75" s="543"/>
      <c r="E75" s="543"/>
      <c r="F75" s="543"/>
      <c r="G75" s="544"/>
      <c r="H75" s="2"/>
      <c r="I75" s="2"/>
      <c r="J75" s="2"/>
      <c r="K75" s="2"/>
      <c r="L75" s="2"/>
      <c r="M75" s="2"/>
      <c r="N75" s="2"/>
      <c r="O75" s="2"/>
      <c r="P75" s="2"/>
    </row>
    <row r="76" spans="1:118" x14ac:dyDescent="0.15">
      <c r="B76" s="542"/>
      <c r="C76" s="543"/>
      <c r="D76" s="543"/>
      <c r="E76" s="543"/>
      <c r="F76" s="543"/>
      <c r="G76" s="544"/>
      <c r="H76" s="2"/>
      <c r="I76" s="2"/>
      <c r="J76" s="2"/>
      <c r="K76" s="2"/>
      <c r="L76" s="2"/>
      <c r="M76" s="2"/>
      <c r="N76" s="2"/>
      <c r="O76" s="2"/>
      <c r="P76" s="2"/>
    </row>
    <row r="77" spans="1:118" x14ac:dyDescent="0.15">
      <c r="B77" s="542"/>
      <c r="C77" s="543"/>
      <c r="D77" s="543"/>
      <c r="E77" s="543"/>
      <c r="F77" s="543"/>
      <c r="G77" s="544"/>
      <c r="H77" s="2"/>
      <c r="I77" s="2"/>
      <c r="J77" s="2"/>
      <c r="K77" s="2"/>
      <c r="L77" s="2"/>
      <c r="M77" s="2"/>
      <c r="N77" s="2"/>
      <c r="O77" s="2"/>
      <c r="P77" s="2"/>
    </row>
    <row r="78" spans="1:118" x14ac:dyDescent="0.15">
      <c r="B78" s="542"/>
      <c r="C78" s="543"/>
      <c r="D78" s="543"/>
      <c r="E78" s="543"/>
      <c r="F78" s="543"/>
      <c r="G78" s="544"/>
      <c r="H78" s="2"/>
      <c r="I78" s="2"/>
      <c r="J78" s="2"/>
      <c r="K78" s="2"/>
      <c r="L78" s="2"/>
      <c r="M78" s="2"/>
      <c r="N78" s="2"/>
      <c r="O78" s="2"/>
      <c r="P78" s="2"/>
    </row>
    <row r="79" spans="1:118" x14ac:dyDescent="0.15">
      <c r="B79" s="545"/>
      <c r="C79" s="546"/>
      <c r="D79" s="546"/>
      <c r="E79" s="546"/>
      <c r="F79" s="546"/>
      <c r="G79" s="547"/>
      <c r="H79" s="2"/>
      <c r="I79" s="2"/>
      <c r="J79" s="2"/>
      <c r="K79" s="2"/>
      <c r="L79" s="2"/>
      <c r="M79" s="2"/>
      <c r="N79" s="2"/>
      <c r="O79" s="2"/>
      <c r="P79" s="2"/>
    </row>
    <row r="80" spans="1:118" x14ac:dyDescent="0.15">
      <c r="H80" s="2"/>
      <c r="I80" s="2"/>
      <c r="J80" s="2"/>
      <c r="K80" s="2"/>
      <c r="L80" s="2"/>
      <c r="M80" s="2"/>
      <c r="N80" s="2"/>
      <c r="O80" s="2"/>
      <c r="P80" s="2"/>
    </row>
    <row r="81" spans="2:16" x14ac:dyDescent="0.15">
      <c r="H81" s="2"/>
      <c r="I81" s="2"/>
      <c r="J81" s="2"/>
      <c r="K81" s="2"/>
      <c r="L81" s="2"/>
      <c r="M81" s="2"/>
      <c r="N81" s="2"/>
      <c r="O81" s="2"/>
      <c r="P81" s="2"/>
    </row>
    <row r="82" spans="2:16" x14ac:dyDescent="0.15">
      <c r="H82" s="2"/>
      <c r="I82" s="2"/>
      <c r="J82" s="2"/>
      <c r="K82" s="2"/>
      <c r="L82" s="2"/>
      <c r="M82" s="2"/>
      <c r="N82" s="2"/>
      <c r="O82" s="2"/>
      <c r="P82" s="2"/>
    </row>
    <row r="83" spans="2:16" x14ac:dyDescent="0.15">
      <c r="H83" s="2"/>
      <c r="I83" s="2"/>
      <c r="J83" s="2"/>
      <c r="K83" s="2"/>
      <c r="L83" s="2"/>
      <c r="M83" s="2"/>
      <c r="N83" s="2"/>
      <c r="O83" s="2"/>
      <c r="P83" s="2"/>
    </row>
    <row r="84" spans="2:16" x14ac:dyDescent="0.15">
      <c r="H84" s="2"/>
      <c r="I84" s="2"/>
      <c r="J84" s="2"/>
      <c r="K84" s="2"/>
      <c r="L84" s="2"/>
      <c r="M84" s="2"/>
      <c r="N84" s="2"/>
      <c r="O84" s="2"/>
      <c r="P84" s="2"/>
    </row>
    <row r="85" spans="2:16" x14ac:dyDescent="0.15">
      <c r="H85" s="2"/>
      <c r="I85" s="2"/>
      <c r="J85" s="2"/>
      <c r="K85" s="2"/>
      <c r="L85" s="2"/>
      <c r="M85" s="2"/>
      <c r="N85" s="2"/>
      <c r="O85" s="2"/>
      <c r="P85" s="2"/>
    </row>
    <row r="86" spans="2:16" x14ac:dyDescent="0.15">
      <c r="H86" s="2"/>
      <c r="I86" s="2"/>
      <c r="J86" s="2"/>
      <c r="K86" s="2"/>
      <c r="L86" s="2"/>
      <c r="M86" s="2"/>
      <c r="N86" s="2"/>
      <c r="O86" s="2"/>
      <c r="P86" s="2"/>
    </row>
    <row r="87" spans="2:16" s="2" customFormat="1" x14ac:dyDescent="0.15">
      <c r="B87" s="10"/>
    </row>
    <row r="88" spans="2:16" s="2" customFormat="1" x14ac:dyDescent="0.15">
      <c r="B88" s="10"/>
    </row>
    <row r="89" spans="2:16" s="2" customFormat="1" x14ac:dyDescent="0.15">
      <c r="B89" s="10"/>
    </row>
    <row r="90" spans="2:16" s="2" customFormat="1" x14ac:dyDescent="0.15">
      <c r="B90" s="10"/>
    </row>
    <row r="91" spans="2:16" s="2" customFormat="1" x14ac:dyDescent="0.15">
      <c r="B91" s="10"/>
    </row>
    <row r="92" spans="2:16" s="2" customFormat="1" x14ac:dyDescent="0.15">
      <c r="B92" s="10"/>
    </row>
    <row r="93" spans="2:16" s="2" customFormat="1" x14ac:dyDescent="0.15">
      <c r="B93" s="10"/>
    </row>
    <row r="94" spans="2:16" s="2" customFormat="1" x14ac:dyDescent="0.15">
      <c r="B94" s="10"/>
    </row>
    <row r="95" spans="2:16" s="2" customFormat="1" x14ac:dyDescent="0.15">
      <c r="B95" s="10"/>
    </row>
    <row r="96" spans="2:16" s="2" customFormat="1" x14ac:dyDescent="0.15">
      <c r="B96" s="10"/>
    </row>
    <row r="97" spans="2:2" s="2" customFormat="1" x14ac:dyDescent="0.15">
      <c r="B97" s="10"/>
    </row>
  </sheetData>
  <sheetProtection algorithmName="SHA-512" hashValue="4lixCT4el17+Lndacw7313WCjPOG9TX6v7OhSEAWPKs5HefTqcyWYLBDMFHIt+y0nqHiz+wlkPqwpPS6yr1gWg==" saltValue="Z2tQIdIIT0pY/L02N8rp0g==" spinCount="100000" sheet="1" objects="1" scenarios="1"/>
  <mergeCells count="10">
    <mergeCell ref="B74:G79"/>
    <mergeCell ref="B15:G15"/>
    <mergeCell ref="B69:G69"/>
    <mergeCell ref="B73:G73"/>
    <mergeCell ref="S2:Z2"/>
    <mergeCell ref="S15:Z15"/>
    <mergeCell ref="B4:G8"/>
    <mergeCell ref="B14:G14"/>
    <mergeCell ref="B70:G70"/>
    <mergeCell ref="B71:G71"/>
  </mergeCells>
  <phoneticPr fontId="10" type="noConversion"/>
  <conditionalFormatting sqref="G17:G68">
    <cfRule type="expression" dxfId="0" priority="1">
      <formula>D17="vehicle-mile"</formula>
    </cfRule>
  </conditionalFormatting>
  <pageMargins left="0.7" right="0.7" top="0.75" bottom="0.75" header="0.3" footer="0.3"/>
  <headerFooter>
    <oddFooter>&amp;R&amp;"-,Bold"&amp;K01+015LIVE Winery Program Greenhouse Gas Emissions Report&amp;"-,Regular"  |  LIVE-XWX-12031401-A0</oddFooter>
  </headerFooter>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IF(D69="vehicle-mile",'Emissions Factors'!$B$212:$B$213,'Emissions Factors'!$B$214:$B$217)</xm:f>
          </x14:formula1>
          <xm:sqref>E69</xm:sqref>
        </x14:dataValidation>
        <x14:dataValidation type="list" allowBlank="1" showInputMessage="1" showErrorMessage="1" xr:uid="{00000000-0002-0000-0C00-000001000000}">
          <x14:formula1>
            <xm:f>'Emissions Factors'!$C$211:$C$214</xm:f>
          </x14:formula1>
          <xm:sqref>D69</xm:sqref>
        </x14:dataValidation>
        <x14:dataValidation type="list" allowBlank="1" showInputMessage="1" showErrorMessage="1" xr:uid="{00000000-0002-0000-0C00-000002000000}">
          <x14:formula1>
            <xm:f>'Emissions Factors'!$C$213:$C$214</xm:f>
          </x14:formula1>
          <xm:sqref>D17:D68</xm:sqref>
        </x14:dataValidation>
        <x14:dataValidation type="list" allowBlank="1" showInputMessage="1" showErrorMessage="1" xr:uid="{00000000-0002-0000-0C00-000003000000}">
          <x14:formula1>
            <xm:f>IF(D17="vehicle-mile",'Emissions Factors'!$B$211:$B$213,'Emissions Factors'!$B$214:$B$217)</xm:f>
          </x14:formula1>
          <xm:sqref>E17:E68</xm:sqref>
        </x14:dataValidation>
      </x14:dataValidations>
    </ex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4"/>
    <pageSetUpPr fitToPage="1"/>
  </sheetPr>
  <dimension ref="A1:BI31"/>
  <sheetViews>
    <sheetView zoomScaleNormal="100" workbookViewId="0">
      <selection activeCell="C13" sqref="C13"/>
    </sheetView>
  </sheetViews>
  <sheetFormatPr baseColWidth="10" defaultColWidth="9.1640625" defaultRowHeight="14" outlineLevelCol="1" x14ac:dyDescent="0.15"/>
  <cols>
    <col min="1" max="1" width="3.6640625" style="2" customWidth="1"/>
    <col min="2" max="2" width="35.1640625" style="10" bestFit="1" customWidth="1"/>
    <col min="3" max="14" width="8.33203125" style="2" customWidth="1"/>
    <col min="15" max="15" width="9.1640625" style="2" customWidth="1"/>
    <col min="16" max="17" width="10.6640625" style="2" hidden="1" customWidth="1" outlineLevel="1"/>
    <col min="18" max="19" width="9.1640625" style="2" hidden="1" customWidth="1" outlineLevel="1"/>
    <col min="20" max="20" width="9.1640625" style="310" collapsed="1"/>
    <col min="21" max="61" width="9.1640625" style="2"/>
    <col min="62" max="16384" width="9.1640625" style="107"/>
  </cols>
  <sheetData>
    <row r="1" spans="1:61" ht="35" customHeight="1" x14ac:dyDescent="0.25">
      <c r="A1" s="114"/>
      <c r="B1" s="1" t="s">
        <v>153</v>
      </c>
      <c r="O1" s="115"/>
      <c r="T1" s="2" t="s">
        <v>892</v>
      </c>
    </row>
    <row r="2" spans="1:61" ht="25.5" customHeight="1" x14ac:dyDescent="0.25">
      <c r="B2" s="194" t="s">
        <v>626</v>
      </c>
      <c r="C2" s="6">
        <f>T13</f>
        <v>0</v>
      </c>
      <c r="D2" s="7" t="s">
        <v>497</v>
      </c>
      <c r="E2" s="8"/>
    </row>
    <row r="3" spans="1:61" ht="23" x14ac:dyDescent="0.25">
      <c r="A3" s="114"/>
      <c r="B3" s="119" t="s">
        <v>200</v>
      </c>
    </row>
    <row r="4" spans="1:61" s="21" customFormat="1" ht="113" customHeight="1" x14ac:dyDescent="0.15">
      <c r="A4" s="121"/>
      <c r="B4" s="566" t="s">
        <v>800</v>
      </c>
      <c r="C4" s="566"/>
      <c r="D4" s="566"/>
      <c r="E4" s="566"/>
      <c r="F4" s="566"/>
      <c r="G4" s="566"/>
      <c r="H4" s="566"/>
      <c r="I4" s="566"/>
      <c r="J4" s="566"/>
      <c r="K4" s="566"/>
      <c r="L4" s="566"/>
      <c r="M4" s="566"/>
      <c r="N4" s="566"/>
      <c r="O4" s="566"/>
      <c r="P4" s="121"/>
      <c r="Q4" s="121"/>
      <c r="R4" s="121"/>
      <c r="S4" s="121"/>
      <c r="T4" s="311"/>
      <c r="U4" s="121"/>
      <c r="V4" s="2"/>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row>
    <row r="5" spans="1:61" s="21" customFormat="1" ht="15" x14ac:dyDescent="0.15">
      <c r="A5" s="121"/>
      <c r="B5" s="414" t="s">
        <v>798</v>
      </c>
      <c r="C5" s="339"/>
      <c r="D5" s="339"/>
      <c r="E5" s="339"/>
      <c r="F5" s="339"/>
      <c r="G5" s="339"/>
      <c r="H5" s="339"/>
      <c r="I5" s="339"/>
      <c r="J5" s="339"/>
      <c r="K5" s="339"/>
      <c r="L5" s="339"/>
      <c r="M5" s="339"/>
      <c r="N5" s="339"/>
      <c r="O5" s="339"/>
      <c r="P5" s="121"/>
      <c r="Q5" s="121"/>
      <c r="R5" s="121"/>
      <c r="S5" s="121"/>
      <c r="T5" s="31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row>
    <row r="6" spans="1:61" s="21" customFormat="1" ht="34" customHeight="1" x14ac:dyDescent="0.15">
      <c r="A6" s="121"/>
      <c r="B6" s="548" t="s">
        <v>801</v>
      </c>
      <c r="C6" s="548"/>
      <c r="D6" s="548"/>
      <c r="E6" s="548"/>
      <c r="F6" s="339"/>
      <c r="G6" s="339"/>
      <c r="H6" s="238" t="s">
        <v>750</v>
      </c>
      <c r="I6" s="339"/>
      <c r="J6" s="339"/>
      <c r="K6" s="339"/>
      <c r="L6" s="339"/>
      <c r="M6" s="238" t="s">
        <v>751</v>
      </c>
      <c r="N6" s="339"/>
      <c r="O6" s="339"/>
      <c r="P6" s="121"/>
      <c r="Q6" s="121"/>
      <c r="R6" s="121"/>
      <c r="S6" s="121"/>
      <c r="T6" s="31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row>
    <row r="7" spans="1:61" s="21" customFormat="1" x14ac:dyDescent="0.15">
      <c r="A7" s="121"/>
      <c r="B7" s="339"/>
      <c r="C7" s="451"/>
      <c r="D7" s="238" t="s">
        <v>742</v>
      </c>
      <c r="E7" s="238"/>
      <c r="F7" s="339"/>
      <c r="G7" s="339"/>
      <c r="H7" s="451"/>
      <c r="I7" s="238" t="s">
        <v>803</v>
      </c>
      <c r="J7" s="339"/>
      <c r="K7" s="339"/>
      <c r="L7" s="339"/>
      <c r="M7" s="376">
        <f>P7*H7</f>
        <v>0</v>
      </c>
      <c r="N7" s="339" t="s">
        <v>403</v>
      </c>
      <c r="O7" s="339"/>
      <c r="P7" s="445">
        <f>C7/202*'Emissions Factors'!$E$228</f>
        <v>0</v>
      </c>
      <c r="Q7" s="238" t="s">
        <v>885</v>
      </c>
      <c r="R7" s="121"/>
      <c r="S7" s="121"/>
      <c r="T7" s="31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row>
    <row r="8" spans="1:61" s="21" customFormat="1" x14ac:dyDescent="0.15">
      <c r="A8" s="121"/>
      <c r="B8" s="339"/>
      <c r="C8" s="451"/>
      <c r="D8" s="238" t="s">
        <v>743</v>
      </c>
      <c r="E8" s="238"/>
      <c r="F8" s="339"/>
      <c r="G8" s="339"/>
      <c r="H8" s="451"/>
      <c r="I8" s="238" t="s">
        <v>803</v>
      </c>
      <c r="J8" s="339"/>
      <c r="K8" s="339"/>
      <c r="L8" s="339"/>
      <c r="M8" s="376">
        <f>P8*H8</f>
        <v>0</v>
      </c>
      <c r="N8" s="339" t="s">
        <v>403</v>
      </c>
      <c r="O8" s="339"/>
      <c r="P8" s="445">
        <f>C8*'Emissions Factors'!$E$228</f>
        <v>0</v>
      </c>
      <c r="Q8" s="238" t="s">
        <v>885</v>
      </c>
      <c r="R8" s="121"/>
      <c r="S8" s="121"/>
      <c r="T8" s="31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row>
    <row r="9" spans="1:61" x14ac:dyDescent="0.15">
      <c r="P9" s="2" t="s">
        <v>641</v>
      </c>
    </row>
    <row r="10" spans="1:61" ht="18" x14ac:dyDescent="0.2">
      <c r="B10" s="572" t="s">
        <v>154</v>
      </c>
      <c r="C10" s="572"/>
      <c r="D10" s="572"/>
      <c r="E10" s="572"/>
      <c r="F10" s="572"/>
      <c r="G10" s="572"/>
      <c r="H10" s="572"/>
      <c r="I10" s="572"/>
      <c r="J10" s="572"/>
      <c r="K10" s="572"/>
      <c r="L10" s="572"/>
      <c r="M10" s="572"/>
      <c r="N10" s="572"/>
      <c r="O10" s="572"/>
      <c r="P10" s="121"/>
      <c r="Q10" s="121"/>
    </row>
    <row r="11" spans="1:61" s="21" customFormat="1" ht="45" customHeight="1" x14ac:dyDescent="0.15">
      <c r="A11" s="121"/>
      <c r="B11" s="531" t="s">
        <v>574</v>
      </c>
      <c r="C11" s="531"/>
      <c r="D11" s="531"/>
      <c r="E11" s="531"/>
      <c r="F11" s="531"/>
      <c r="G11" s="531"/>
      <c r="H11" s="531"/>
      <c r="I11" s="531"/>
      <c r="J11" s="531"/>
      <c r="K11" s="531"/>
      <c r="L11" s="531"/>
      <c r="M11" s="531"/>
      <c r="N11" s="531"/>
      <c r="O11" s="531"/>
      <c r="P11" s="121"/>
      <c r="Q11" s="121"/>
      <c r="R11" s="121"/>
      <c r="S11" s="121"/>
      <c r="T11" s="31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row>
    <row r="12" spans="1:61" s="21" customFormat="1" ht="37" customHeight="1" x14ac:dyDescent="0.2">
      <c r="A12" s="121"/>
      <c r="B12" s="415"/>
      <c r="C12" s="257" t="s">
        <v>0</v>
      </c>
      <c r="D12" s="257" t="s">
        <v>1</v>
      </c>
      <c r="E12" s="257" t="s">
        <v>2</v>
      </c>
      <c r="F12" s="257" t="s">
        <v>3</v>
      </c>
      <c r="G12" s="257" t="s">
        <v>4</v>
      </c>
      <c r="H12" s="257" t="s">
        <v>5</v>
      </c>
      <c r="I12" s="257" t="s">
        <v>6</v>
      </c>
      <c r="J12" s="257" t="s">
        <v>7</v>
      </c>
      <c r="K12" s="257" t="s">
        <v>8</v>
      </c>
      <c r="L12" s="257" t="s">
        <v>9</v>
      </c>
      <c r="M12" s="257" t="s">
        <v>10</v>
      </c>
      <c r="N12" s="257" t="s">
        <v>11</v>
      </c>
      <c r="O12" s="274" t="s">
        <v>369</v>
      </c>
      <c r="P12" s="257" t="s">
        <v>12</v>
      </c>
      <c r="Q12" s="128" t="s">
        <v>87</v>
      </c>
      <c r="R12" s="128" t="s">
        <v>575</v>
      </c>
      <c r="S12" s="128" t="s">
        <v>542</v>
      </c>
      <c r="T12" s="312" t="s">
        <v>548</v>
      </c>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row>
    <row r="13" spans="1:61" s="21" customFormat="1" ht="13" x14ac:dyDescent="0.15">
      <c r="A13" s="121"/>
      <c r="B13" s="415" t="s">
        <v>802</v>
      </c>
      <c r="C13" s="391"/>
      <c r="D13" s="391"/>
      <c r="E13" s="391"/>
      <c r="F13" s="391"/>
      <c r="G13" s="391"/>
      <c r="H13" s="391"/>
      <c r="I13" s="391"/>
      <c r="J13" s="391"/>
      <c r="K13" s="391"/>
      <c r="L13" s="391"/>
      <c r="M13" s="391"/>
      <c r="N13" s="391"/>
      <c r="O13" s="242">
        <f t="shared" ref="O13:O23" si="0">SUM(C13:N13)</f>
        <v>0</v>
      </c>
      <c r="P13" s="167">
        <f t="shared" ref="P13:P23" si="1">SUM(C13:N13)</f>
        <v>0</v>
      </c>
      <c r="Q13" s="136">
        <f t="shared" ref="Q13:Q23" si="2">P13/2000</f>
        <v>0</v>
      </c>
      <c r="R13" s="133">
        <f>'Emissions Factors'!C228</f>
        <v>0.35</v>
      </c>
      <c r="S13" s="136">
        <f t="shared" ref="S13:S23" si="3">Q13*R13</f>
        <v>0</v>
      </c>
      <c r="T13" s="418">
        <f t="shared" ref="T13:T23" si="4">S13</f>
        <v>0</v>
      </c>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row>
    <row r="14" spans="1:61" s="21" customFormat="1" ht="13" x14ac:dyDescent="0.15">
      <c r="A14" s="121"/>
      <c r="B14" s="140"/>
      <c r="C14" s="140"/>
      <c r="D14" s="140"/>
      <c r="E14" s="140"/>
      <c r="F14" s="140"/>
      <c r="G14" s="140"/>
      <c r="H14" s="140"/>
      <c r="I14" s="140"/>
      <c r="J14" s="140"/>
      <c r="K14" s="140"/>
      <c r="L14" s="140"/>
      <c r="M14" s="140"/>
      <c r="N14" s="140"/>
      <c r="O14" s="140"/>
      <c r="P14" s="140"/>
      <c r="Q14" s="140"/>
      <c r="R14" s="140"/>
      <c r="S14" s="140"/>
      <c r="T14" s="140"/>
      <c r="U14" s="140"/>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row>
    <row r="15" spans="1:61" ht="18" x14ac:dyDescent="0.2">
      <c r="B15" s="575" t="s">
        <v>752</v>
      </c>
      <c r="C15" s="575"/>
      <c r="D15" s="575"/>
      <c r="E15" s="575"/>
      <c r="F15" s="575"/>
      <c r="G15" s="575"/>
      <c r="H15" s="575"/>
      <c r="I15" s="575"/>
      <c r="J15" s="575"/>
      <c r="K15" s="575"/>
      <c r="L15" s="575"/>
      <c r="M15" s="575"/>
      <c r="N15" s="575"/>
      <c r="O15" s="575"/>
      <c r="P15" s="121"/>
      <c r="Q15" s="121"/>
    </row>
    <row r="16" spans="1:61" s="21" customFormat="1" ht="31" customHeight="1" x14ac:dyDescent="0.15">
      <c r="A16" s="121"/>
      <c r="B16" s="548" t="s">
        <v>881</v>
      </c>
      <c r="C16" s="548"/>
      <c r="D16" s="548"/>
      <c r="E16" s="548"/>
      <c r="F16" s="548"/>
      <c r="G16" s="548"/>
      <c r="H16" s="548"/>
      <c r="I16" s="548"/>
      <c r="J16" s="548"/>
      <c r="K16" s="548"/>
      <c r="L16" s="548"/>
      <c r="M16" s="548"/>
      <c r="N16" s="548"/>
      <c r="O16" s="548"/>
      <c r="P16" s="121"/>
      <c r="Q16" s="121"/>
      <c r="R16" s="121"/>
      <c r="S16" s="121"/>
      <c r="T16" s="31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row>
    <row r="17" spans="1:61" s="21" customFormat="1" ht="13" x14ac:dyDescent="0.15">
      <c r="A17" s="121"/>
      <c r="B17" s="339"/>
      <c r="C17" s="339"/>
      <c r="D17" s="339"/>
      <c r="E17" s="339"/>
      <c r="F17" s="339"/>
      <c r="G17" s="339"/>
      <c r="H17" s="339"/>
      <c r="I17" s="339"/>
      <c r="J17" s="339"/>
      <c r="K17" s="339"/>
      <c r="L17" s="339"/>
      <c r="M17" s="339"/>
      <c r="N17" s="339"/>
      <c r="O17" s="339"/>
      <c r="P17" s="121"/>
      <c r="Q17" s="121"/>
      <c r="R17" s="121"/>
      <c r="S17" s="121"/>
      <c r="T17" s="31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row>
    <row r="18" spans="1:61" s="21" customFormat="1" ht="13" x14ac:dyDescent="0.15">
      <c r="A18" s="121"/>
      <c r="B18" s="141" t="s">
        <v>817</v>
      </c>
      <c r="C18" s="140"/>
      <c r="D18" s="140"/>
      <c r="E18" s="140"/>
      <c r="F18" s="140"/>
      <c r="G18" s="140"/>
      <c r="H18" s="140"/>
      <c r="I18" s="140"/>
      <c r="J18" s="140"/>
      <c r="K18" s="140"/>
      <c r="L18" s="140"/>
      <c r="M18" s="140"/>
      <c r="N18" s="140"/>
      <c r="O18" s="140"/>
      <c r="P18" s="140"/>
      <c r="Q18" s="140"/>
      <c r="R18" s="140"/>
      <c r="S18" s="140"/>
      <c r="T18" s="140"/>
      <c r="U18" s="140"/>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row>
    <row r="19" spans="1:61" s="21" customFormat="1" ht="13" x14ac:dyDescent="0.15">
      <c r="A19" s="121"/>
      <c r="B19" s="140" t="str">
        <f>'Emissions Factors'!B229</f>
        <v>Recycled corrugated cardboard</v>
      </c>
      <c r="C19" s="131"/>
      <c r="D19" s="131"/>
      <c r="E19" s="131"/>
      <c r="F19" s="131"/>
      <c r="G19" s="131"/>
      <c r="H19" s="131"/>
      <c r="I19" s="131"/>
      <c r="J19" s="131"/>
      <c r="K19" s="131"/>
      <c r="L19" s="131"/>
      <c r="M19" s="131"/>
      <c r="N19" s="131"/>
      <c r="O19" s="242">
        <f t="shared" si="0"/>
        <v>0</v>
      </c>
      <c r="P19" s="167">
        <f t="shared" si="1"/>
        <v>0</v>
      </c>
      <c r="Q19" s="136">
        <f t="shared" si="2"/>
        <v>0</v>
      </c>
      <c r="R19" s="133">
        <f>VLOOKUP(B19,'Emissions Factors'!$B$228:$C$233,2,FALSE)</f>
        <v>-3.12</v>
      </c>
      <c r="S19" s="136">
        <f t="shared" si="3"/>
        <v>0</v>
      </c>
      <c r="T19" s="418">
        <f t="shared" si="4"/>
        <v>0</v>
      </c>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row>
    <row r="20" spans="1:61" s="21" customFormat="1" ht="13" x14ac:dyDescent="0.15">
      <c r="A20" s="121"/>
      <c r="B20" s="140" t="str">
        <f>'Emissions Factors'!B230</f>
        <v>Recycled glass</v>
      </c>
      <c r="C20" s="131"/>
      <c r="D20" s="131"/>
      <c r="E20" s="131"/>
      <c r="F20" s="131"/>
      <c r="G20" s="131"/>
      <c r="H20" s="131"/>
      <c r="I20" s="131"/>
      <c r="J20" s="131"/>
      <c r="K20" s="131"/>
      <c r="L20" s="131"/>
      <c r="M20" s="131"/>
      <c r="N20" s="131"/>
      <c r="O20" s="242">
        <f t="shared" si="0"/>
        <v>0</v>
      </c>
      <c r="P20" s="167">
        <f t="shared" si="1"/>
        <v>0</v>
      </c>
      <c r="Q20" s="136">
        <f t="shared" si="2"/>
        <v>0</v>
      </c>
      <c r="R20" s="133">
        <f>VLOOKUP(B20,'Emissions Factors'!$B$228:$C$233,2,FALSE)</f>
        <v>-0.28000000000000003</v>
      </c>
      <c r="S20" s="136">
        <f t="shared" si="3"/>
        <v>0</v>
      </c>
      <c r="T20" s="418">
        <f t="shared" si="4"/>
        <v>0</v>
      </c>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row>
    <row r="21" spans="1:61" s="21" customFormat="1" ht="13" x14ac:dyDescent="0.15">
      <c r="A21" s="121"/>
      <c r="B21" s="140" t="str">
        <f>'Emissions Factors'!B231</f>
        <v>Recycled mixed office paper</v>
      </c>
      <c r="C21" s="131"/>
      <c r="D21" s="131"/>
      <c r="E21" s="131"/>
      <c r="F21" s="131"/>
      <c r="G21" s="131"/>
      <c r="H21" s="131"/>
      <c r="I21" s="131"/>
      <c r="J21" s="131"/>
      <c r="K21" s="131"/>
      <c r="L21" s="131"/>
      <c r="M21" s="131"/>
      <c r="N21" s="131"/>
      <c r="O21" s="242">
        <f t="shared" si="0"/>
        <v>0</v>
      </c>
      <c r="P21" s="167">
        <f t="shared" si="1"/>
        <v>0</v>
      </c>
      <c r="Q21" s="136">
        <f>P21/2000</f>
        <v>0</v>
      </c>
      <c r="R21" s="133">
        <f>VLOOKUP(B21,'Emissions Factors'!$B$228:$C$233,2,FALSE)</f>
        <v>-3.59</v>
      </c>
      <c r="S21" s="136">
        <f t="shared" si="3"/>
        <v>0</v>
      </c>
      <c r="T21" s="418">
        <f t="shared" si="4"/>
        <v>0</v>
      </c>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row>
    <row r="22" spans="1:61" s="21" customFormat="1" ht="13" x14ac:dyDescent="0.15">
      <c r="A22" s="121"/>
      <c r="B22" s="140" t="str">
        <f>'Emissions Factors'!B232</f>
        <v>Commingled recycling</v>
      </c>
      <c r="C22" s="131"/>
      <c r="D22" s="131"/>
      <c r="E22" s="131"/>
      <c r="F22" s="131"/>
      <c r="G22" s="131"/>
      <c r="H22" s="131"/>
      <c r="I22" s="131"/>
      <c r="J22" s="131"/>
      <c r="K22" s="131"/>
      <c r="L22" s="131"/>
      <c r="M22" s="131"/>
      <c r="N22" s="131"/>
      <c r="O22" s="242">
        <f t="shared" si="0"/>
        <v>0</v>
      </c>
      <c r="P22" s="167">
        <f t="shared" si="1"/>
        <v>0</v>
      </c>
      <c r="Q22" s="136">
        <f t="shared" si="2"/>
        <v>0</v>
      </c>
      <c r="R22" s="133">
        <f>VLOOKUP(B22,'Emissions Factors'!$B$228:$C$233,2,FALSE)</f>
        <v>-2.82</v>
      </c>
      <c r="S22" s="136">
        <f t="shared" si="3"/>
        <v>0</v>
      </c>
      <c r="T22" s="418">
        <f t="shared" si="4"/>
        <v>0</v>
      </c>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row>
    <row r="23" spans="1:61" s="21" customFormat="1" ht="13" x14ac:dyDescent="0.15">
      <c r="A23" s="121"/>
      <c r="B23" s="140" t="str">
        <f>'Emissions Factors'!B233</f>
        <v>Composted material (off-site only)</v>
      </c>
      <c r="C23" s="131"/>
      <c r="D23" s="131"/>
      <c r="E23" s="131"/>
      <c r="F23" s="131"/>
      <c r="G23" s="131"/>
      <c r="H23" s="131"/>
      <c r="I23" s="131"/>
      <c r="J23" s="131"/>
      <c r="K23" s="131"/>
      <c r="L23" s="131"/>
      <c r="M23" s="131"/>
      <c r="N23" s="131"/>
      <c r="O23" s="242">
        <f t="shared" si="0"/>
        <v>0</v>
      </c>
      <c r="P23" s="167">
        <f t="shared" si="1"/>
        <v>0</v>
      </c>
      <c r="Q23" s="136">
        <f t="shared" si="2"/>
        <v>0</v>
      </c>
      <c r="R23" s="133">
        <f>VLOOKUP(B23,'Emissions Factors'!$B$228:$C$233,2,FALSE)</f>
        <v>-0.16</v>
      </c>
      <c r="S23" s="136">
        <f t="shared" si="3"/>
        <v>0</v>
      </c>
      <c r="T23" s="418">
        <f t="shared" si="4"/>
        <v>0</v>
      </c>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row>
    <row r="24" spans="1:61" s="21" customFormat="1" ht="13" x14ac:dyDescent="0.15">
      <c r="A24" s="121"/>
      <c r="B24" s="274"/>
      <c r="C24" s="121"/>
      <c r="D24" s="121"/>
      <c r="E24" s="121"/>
      <c r="F24" s="121"/>
      <c r="G24" s="121"/>
      <c r="H24" s="121"/>
      <c r="I24" s="121"/>
      <c r="J24" s="121"/>
      <c r="K24" s="121"/>
      <c r="L24" s="121"/>
      <c r="M24" s="121"/>
      <c r="N24" s="121"/>
      <c r="O24" s="121"/>
      <c r="P24" s="121"/>
      <c r="Q24" s="121"/>
      <c r="R24" s="121"/>
      <c r="S24" s="121"/>
      <c r="T24" s="31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row>
    <row r="25" spans="1:61" ht="20.25" customHeight="1" x14ac:dyDescent="0.2">
      <c r="B25" s="572" t="s">
        <v>125</v>
      </c>
      <c r="C25" s="572"/>
      <c r="D25" s="572"/>
      <c r="E25" s="572"/>
      <c r="F25" s="572"/>
      <c r="G25" s="572"/>
      <c r="H25" s="572"/>
      <c r="I25" s="572"/>
      <c r="J25" s="572"/>
      <c r="K25" s="572"/>
      <c r="L25" s="572"/>
      <c r="M25" s="572"/>
      <c r="N25" s="572"/>
      <c r="O25" s="572"/>
      <c r="U25" s="121"/>
    </row>
    <row r="26" spans="1:61" x14ac:dyDescent="0.15">
      <c r="B26" s="539"/>
      <c r="C26" s="540"/>
      <c r="D26" s="540"/>
      <c r="E26" s="540"/>
      <c r="F26" s="540"/>
      <c r="G26" s="540"/>
      <c r="H26" s="540"/>
      <c r="I26" s="540"/>
      <c r="J26" s="540"/>
      <c r="K26" s="540"/>
      <c r="L26" s="540"/>
      <c r="M26" s="540"/>
      <c r="N26" s="540"/>
      <c r="O26" s="541"/>
      <c r="U26" s="121"/>
    </row>
    <row r="27" spans="1:61" x14ac:dyDescent="0.15">
      <c r="B27" s="542"/>
      <c r="C27" s="543"/>
      <c r="D27" s="543"/>
      <c r="E27" s="543"/>
      <c r="F27" s="543"/>
      <c r="G27" s="543"/>
      <c r="H27" s="543"/>
      <c r="I27" s="543"/>
      <c r="J27" s="543"/>
      <c r="K27" s="543"/>
      <c r="L27" s="543"/>
      <c r="M27" s="543"/>
      <c r="N27" s="543"/>
      <c r="O27" s="544"/>
      <c r="U27" s="121"/>
    </row>
    <row r="28" spans="1:61" x14ac:dyDescent="0.15">
      <c r="B28" s="542"/>
      <c r="C28" s="543"/>
      <c r="D28" s="543"/>
      <c r="E28" s="543"/>
      <c r="F28" s="543"/>
      <c r="G28" s="543"/>
      <c r="H28" s="543"/>
      <c r="I28" s="543"/>
      <c r="J28" s="543"/>
      <c r="K28" s="543"/>
      <c r="L28" s="543"/>
      <c r="M28" s="543"/>
      <c r="N28" s="543"/>
      <c r="O28" s="544"/>
      <c r="U28" s="121"/>
    </row>
    <row r="29" spans="1:61" x14ac:dyDescent="0.15">
      <c r="B29" s="542"/>
      <c r="C29" s="543"/>
      <c r="D29" s="543"/>
      <c r="E29" s="543"/>
      <c r="F29" s="543"/>
      <c r="G29" s="543"/>
      <c r="H29" s="543"/>
      <c r="I29" s="543"/>
      <c r="J29" s="543"/>
      <c r="K29" s="543"/>
      <c r="L29" s="543"/>
      <c r="M29" s="543"/>
      <c r="N29" s="543"/>
      <c r="O29" s="544"/>
      <c r="U29" s="121"/>
    </row>
    <row r="30" spans="1:61" x14ac:dyDescent="0.15">
      <c r="B30" s="542"/>
      <c r="C30" s="543"/>
      <c r="D30" s="543"/>
      <c r="E30" s="543"/>
      <c r="F30" s="543"/>
      <c r="G30" s="543"/>
      <c r="H30" s="543"/>
      <c r="I30" s="543"/>
      <c r="J30" s="543"/>
      <c r="K30" s="543"/>
      <c r="L30" s="543"/>
      <c r="M30" s="543"/>
      <c r="N30" s="543"/>
      <c r="O30" s="544"/>
    </row>
    <row r="31" spans="1:61" x14ac:dyDescent="0.15">
      <c r="B31" s="545"/>
      <c r="C31" s="546"/>
      <c r="D31" s="546"/>
      <c r="E31" s="546"/>
      <c r="F31" s="546"/>
      <c r="G31" s="546"/>
      <c r="H31" s="546"/>
      <c r="I31" s="546"/>
      <c r="J31" s="546"/>
      <c r="K31" s="546"/>
      <c r="L31" s="546"/>
      <c r="M31" s="546"/>
      <c r="N31" s="546"/>
      <c r="O31" s="547"/>
    </row>
  </sheetData>
  <sheetProtection algorithmName="SHA-512" hashValue="R2hW0zVehs93kDv1zq8b0wf4KL5sUDFK47j31bhB2Hoqc1/YUHITsrfWXd02wlngW+oRmy+PGAZK6LYwFoeZeA==" saltValue="5wBGx9Na6F0DS/nmJy+edg==" spinCount="100000" sheet="1" objects="1" scenarios="1"/>
  <mergeCells count="8">
    <mergeCell ref="B4:O4"/>
    <mergeCell ref="B26:O31"/>
    <mergeCell ref="B11:O11"/>
    <mergeCell ref="B25:O25"/>
    <mergeCell ref="B10:O10"/>
    <mergeCell ref="B6:E6"/>
    <mergeCell ref="B15:O15"/>
    <mergeCell ref="B16:O16"/>
  </mergeCells>
  <phoneticPr fontId="10" type="noConversion"/>
  <pageMargins left="0.7" right="0.7" top="0.75" bottom="0.75" header="0.3" footer="0.3"/>
  <headerFooter>
    <oddFooter>&amp;R&amp;"-,Bold"&amp;K01+015LIVE Winery Program Greenhouse Gas Emissions Report&amp;"-,Regular"  |  LIVE-XWX-12031401-A0</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267482"/>
    <pageSetUpPr fitToPage="1"/>
  </sheetPr>
  <dimension ref="A1:O68"/>
  <sheetViews>
    <sheetView zoomScale="120" zoomScaleNormal="120" workbookViewId="0">
      <selection activeCell="E4" sqref="E4"/>
    </sheetView>
  </sheetViews>
  <sheetFormatPr baseColWidth="10" defaultColWidth="9.1640625" defaultRowHeight="14" x14ac:dyDescent="0.15"/>
  <cols>
    <col min="1" max="1" width="3" style="2" customWidth="1"/>
    <col min="2" max="2" width="17.6640625" style="2" customWidth="1"/>
    <col min="3" max="3" width="17.33203125" style="2" customWidth="1"/>
    <col min="4" max="4" width="12.1640625" style="2" customWidth="1"/>
    <col min="5" max="5" width="14" style="2" customWidth="1"/>
    <col min="6" max="6" width="16.33203125" style="2" customWidth="1"/>
    <col min="7" max="8" width="9.1640625" style="2"/>
    <col min="9" max="9" width="24.33203125" style="2" customWidth="1"/>
    <col min="10" max="10" width="12.6640625" style="2" customWidth="1"/>
    <col min="11" max="13" width="9.1640625" style="2"/>
    <col min="14" max="14" width="9.1640625" style="2" customWidth="1"/>
    <col min="15" max="15" width="1.83203125" style="2" customWidth="1"/>
    <col min="16" max="16384" width="9.1640625" style="2"/>
  </cols>
  <sheetData>
    <row r="1" spans="2:14" ht="25.5" customHeight="1" x14ac:dyDescent="0.25">
      <c r="B1" s="204" t="str">
        <f>General!I3&amp;"  |  "&amp;'Emissions Factors'!C19&amp;" Greenhouse Gas Emissions Report"</f>
        <v>Your Winery/Vineyard   |  2025 Greenhouse Gas Emissions Report</v>
      </c>
      <c r="K1" s="2" t="s">
        <v>892</v>
      </c>
      <c r="N1" s="115"/>
    </row>
    <row r="2" spans="2:14" ht="16" x14ac:dyDescent="0.2">
      <c r="B2" s="302" t="s">
        <v>598</v>
      </c>
      <c r="N2" s="115"/>
    </row>
    <row r="3" spans="2:14" ht="14" customHeight="1" x14ac:dyDescent="0.25">
      <c r="B3" s="204"/>
      <c r="N3" s="115"/>
    </row>
    <row r="4" spans="2:14" ht="18" x14ac:dyDescent="0.2">
      <c r="B4" s="217" t="s">
        <v>495</v>
      </c>
      <c r="E4" s="450"/>
      <c r="F4" s="216" t="s">
        <v>579</v>
      </c>
      <c r="G4" s="2" t="s">
        <v>925</v>
      </c>
      <c r="N4" s="115"/>
    </row>
    <row r="5" spans="2:14" ht="18" x14ac:dyDescent="0.2">
      <c r="B5" s="217" t="s">
        <v>924</v>
      </c>
      <c r="E5" s="450"/>
      <c r="F5" s="216" t="s">
        <v>579</v>
      </c>
      <c r="G5" s="2" t="s">
        <v>927</v>
      </c>
      <c r="N5" s="115"/>
    </row>
    <row r="6" spans="2:14" ht="14" customHeight="1" x14ac:dyDescent="0.25">
      <c r="B6" s="204"/>
      <c r="N6" s="115"/>
    </row>
    <row r="7" spans="2:14" ht="18" x14ac:dyDescent="0.2">
      <c r="B7" s="260" t="str">
        <f>'Emissions Factors'!C19&amp;" GHG Inventory"</f>
        <v>2025 GHG Inventory</v>
      </c>
      <c r="C7" s="206"/>
      <c r="D7" s="206"/>
      <c r="E7" s="313">
        <f>SUM(E9:E11)+F36</f>
        <v>0</v>
      </c>
      <c r="F7" s="7" t="s">
        <v>429</v>
      </c>
    </row>
    <row r="8" spans="2:14" ht="8" customHeight="1" x14ac:dyDescent="0.15">
      <c r="B8" s="207"/>
      <c r="C8" s="207"/>
      <c r="D8" s="208"/>
      <c r="E8" s="314"/>
      <c r="F8" s="124"/>
    </row>
    <row r="9" spans="2:14" ht="15" customHeight="1" x14ac:dyDescent="0.2">
      <c r="B9" s="209" t="s">
        <v>78</v>
      </c>
      <c r="C9" s="210"/>
      <c r="D9" s="119"/>
      <c r="E9" s="315">
        <f>SUM(E26:E30)</f>
        <v>0</v>
      </c>
      <c r="F9" s="210" t="s">
        <v>576</v>
      </c>
      <c r="G9" s="14" t="s">
        <v>615</v>
      </c>
    </row>
    <row r="10" spans="2:14" ht="15" customHeight="1" x14ac:dyDescent="0.2">
      <c r="B10" s="211" t="s">
        <v>79</v>
      </c>
      <c r="C10" s="212"/>
      <c r="D10" s="119"/>
      <c r="E10" s="316">
        <f>E31</f>
        <v>0</v>
      </c>
      <c r="F10" s="212" t="s">
        <v>577</v>
      </c>
      <c r="G10" s="14" t="s">
        <v>616</v>
      </c>
    </row>
    <row r="11" spans="2:14" ht="15" customHeight="1" x14ac:dyDescent="0.2">
      <c r="B11" s="213" t="s">
        <v>80</v>
      </c>
      <c r="C11" s="214"/>
      <c r="D11" s="119"/>
      <c r="E11" s="317">
        <f>SUM(E32:E35)</f>
        <v>0</v>
      </c>
      <c r="F11" s="214" t="s">
        <v>578</v>
      </c>
      <c r="G11" s="14" t="s">
        <v>617</v>
      </c>
    </row>
    <row r="12" spans="2:14" ht="15" customHeight="1" x14ac:dyDescent="0.2">
      <c r="B12" s="213"/>
      <c r="C12" s="214"/>
      <c r="D12" s="119"/>
      <c r="E12" s="317"/>
      <c r="F12" s="214"/>
    </row>
    <row r="13" spans="2:14" ht="15" customHeight="1" x14ac:dyDescent="0.2">
      <c r="B13" s="215" t="s">
        <v>921</v>
      </c>
      <c r="C13" s="216"/>
      <c r="D13" s="119"/>
      <c r="E13" s="318">
        <f>SUM(Stationary!Y26:Y37,Mobile!T13)</f>
        <v>0</v>
      </c>
      <c r="F13" s="216" t="s">
        <v>579</v>
      </c>
      <c r="G13" s="14" t="s">
        <v>618</v>
      </c>
    </row>
    <row r="14" spans="2:14" ht="15" customHeight="1" x14ac:dyDescent="0.2">
      <c r="B14" s="215" t="s">
        <v>926</v>
      </c>
      <c r="C14" s="216"/>
      <c r="D14" s="119"/>
      <c r="E14" s="318">
        <f>General!$I$9*'Emissions Factors'!$D$467</f>
        <v>0</v>
      </c>
      <c r="F14" s="216" t="s">
        <v>579</v>
      </c>
      <c r="G14" s="14" t="s">
        <v>934</v>
      </c>
    </row>
    <row r="15" spans="2:14" ht="15" customHeight="1" x14ac:dyDescent="0.2">
      <c r="B15" s="215" t="s">
        <v>597</v>
      </c>
      <c r="C15" s="216"/>
      <c r="D15" s="119"/>
      <c r="E15" s="319">
        <f>F29+F30-E5</f>
        <v>0</v>
      </c>
      <c r="F15" s="216" t="s">
        <v>579</v>
      </c>
      <c r="G15" s="14" t="s">
        <v>619</v>
      </c>
    </row>
    <row r="16" spans="2:14" ht="15" customHeight="1" x14ac:dyDescent="0.2">
      <c r="B16" s="215" t="s">
        <v>496</v>
      </c>
      <c r="C16" s="216"/>
      <c r="D16" s="119"/>
      <c r="E16" s="336">
        <f>F26+F31-E4</f>
        <v>0</v>
      </c>
      <c r="F16" s="216" t="s">
        <v>579</v>
      </c>
      <c r="G16" s="14" t="s">
        <v>620</v>
      </c>
    </row>
    <row r="17" spans="2:14" ht="15" customHeight="1" x14ac:dyDescent="0.2">
      <c r="B17" s="216"/>
      <c r="C17" s="216"/>
      <c r="D17" s="119"/>
      <c r="E17" s="216"/>
      <c r="F17" s="216"/>
    </row>
    <row r="18" spans="2:14" ht="15" customHeight="1" x14ac:dyDescent="0.2">
      <c r="B18" s="346" t="s">
        <v>669</v>
      </c>
      <c r="C18" s="216"/>
      <c r="D18" s="119"/>
      <c r="E18" s="216"/>
      <c r="F18" s="216"/>
      <c r="G18" s="14" t="s">
        <v>933</v>
      </c>
    </row>
    <row r="19" spans="2:14" ht="15" customHeight="1" x14ac:dyDescent="0.2">
      <c r="B19" s="216" t="s">
        <v>672</v>
      </c>
      <c r="C19" s="216"/>
      <c r="D19" s="119"/>
      <c r="E19" s="341" t="str">
        <f>IF(General!I9&gt;0,$E$7/General!I9,"")</f>
        <v/>
      </c>
      <c r="F19" s="216" t="s">
        <v>579</v>
      </c>
    </row>
    <row r="20" spans="2:14" ht="15" customHeight="1" x14ac:dyDescent="0.2">
      <c r="B20" s="216" t="s">
        <v>670</v>
      </c>
      <c r="C20" s="216"/>
      <c r="D20" s="119"/>
      <c r="E20" s="341" t="str">
        <f>IF(General!I11&gt;0,$E$7/General!I11,"")</f>
        <v/>
      </c>
      <c r="F20" s="216" t="s">
        <v>579</v>
      </c>
    </row>
    <row r="21" spans="2:14" ht="15" customHeight="1" x14ac:dyDescent="0.2">
      <c r="B21" s="216" t="s">
        <v>671</v>
      </c>
      <c r="C21" s="216"/>
      <c r="D21" s="119"/>
      <c r="E21" s="341" t="str">
        <f>IF(General!I13&gt;0,$E$7/General!I13,"")</f>
        <v/>
      </c>
      <c r="F21" s="216" t="s">
        <v>579</v>
      </c>
      <c r="G21" s="14"/>
    </row>
    <row r="22" spans="2:14" ht="15" customHeight="1" x14ac:dyDescent="0.2">
      <c r="B22" s="216" t="s">
        <v>697</v>
      </c>
      <c r="C22" s="216"/>
      <c r="D22" s="119"/>
      <c r="E22" s="341" t="str">
        <f>IF(General!I15&gt;0,$E$7/General!I15,"")</f>
        <v/>
      </c>
      <c r="F22" s="216" t="s">
        <v>579</v>
      </c>
      <c r="G22" s="14"/>
    </row>
    <row r="23" spans="2:14" ht="15" customHeight="1" x14ac:dyDescent="0.2">
      <c r="B23" s="216"/>
      <c r="C23" s="216"/>
      <c r="D23" s="119"/>
      <c r="E23" s="216"/>
      <c r="F23" s="216"/>
    </row>
    <row r="24" spans="2:14" ht="28" customHeight="1" x14ac:dyDescent="0.2">
      <c r="B24" s="260" t="s">
        <v>162</v>
      </c>
      <c r="C24" s="120"/>
      <c r="D24" s="119"/>
      <c r="E24" s="257" t="s">
        <v>381</v>
      </c>
      <c r="F24" s="128" t="s">
        <v>614</v>
      </c>
    </row>
    <row r="25" spans="2:14" ht="8" customHeight="1" x14ac:dyDescent="0.2">
      <c r="B25" s="205"/>
      <c r="C25" s="120"/>
      <c r="D25" s="119"/>
      <c r="E25" s="120"/>
      <c r="F25" s="119"/>
    </row>
    <row r="26" spans="2:14" ht="18" x14ac:dyDescent="0.25">
      <c r="B26" s="586" t="s">
        <v>77</v>
      </c>
      <c r="C26" s="586"/>
      <c r="D26" s="119"/>
      <c r="E26" s="264">
        <f>Stationary!E3</f>
        <v>0</v>
      </c>
      <c r="F26" s="264">
        <f>Stationary!E4</f>
        <v>0</v>
      </c>
      <c r="G26" s="119" t="s">
        <v>579</v>
      </c>
    </row>
    <row r="27" spans="2:14" ht="18" x14ac:dyDescent="0.25">
      <c r="B27" s="586" t="s">
        <v>711</v>
      </c>
      <c r="C27" s="586"/>
      <c r="D27" s="119"/>
      <c r="E27" s="264">
        <f>Mobile!C2</f>
        <v>0</v>
      </c>
      <c r="F27" s="264"/>
      <c r="G27" s="119" t="s">
        <v>579</v>
      </c>
    </row>
    <row r="28" spans="2:14" ht="18" x14ac:dyDescent="0.25">
      <c r="B28" s="586" t="s">
        <v>456</v>
      </c>
      <c r="C28" s="586"/>
      <c r="D28" s="119"/>
      <c r="E28" s="264">
        <f>Refrigerants!F2</f>
        <v>0</v>
      </c>
      <c r="F28" s="264"/>
      <c r="G28" s="119" t="s">
        <v>579</v>
      </c>
      <c r="H28" s="218"/>
      <c r="I28" s="218"/>
      <c r="J28" s="218"/>
      <c r="K28" s="218"/>
      <c r="L28" s="218"/>
      <c r="M28" s="218"/>
      <c r="N28" s="219"/>
    </row>
    <row r="29" spans="2:14" ht="18" x14ac:dyDescent="0.25">
      <c r="B29" s="120" t="s">
        <v>477</v>
      </c>
      <c r="C29" s="120"/>
      <c r="D29" s="119"/>
      <c r="E29" s="264">
        <f>'Land Applications'!D3</f>
        <v>0</v>
      </c>
      <c r="F29" s="264">
        <f>'Land Applications'!D4</f>
        <v>0</v>
      </c>
      <c r="G29" s="119" t="s">
        <v>579</v>
      </c>
      <c r="N29" s="220"/>
    </row>
    <row r="30" spans="2:14" ht="18" x14ac:dyDescent="0.25">
      <c r="B30" s="120" t="s">
        <v>480</v>
      </c>
      <c r="C30" s="120"/>
      <c r="D30" s="119"/>
      <c r="E30" s="264">
        <f>'Land Management'!D3</f>
        <v>0</v>
      </c>
      <c r="F30" s="264">
        <f>'Land Management'!D4</f>
        <v>0</v>
      </c>
      <c r="G30" s="119" t="s">
        <v>579</v>
      </c>
      <c r="N30" s="220"/>
    </row>
    <row r="31" spans="2:14" ht="18" x14ac:dyDescent="0.25">
      <c r="B31" s="586" t="s">
        <v>621</v>
      </c>
      <c r="C31" s="586"/>
      <c r="D31" s="119"/>
      <c r="E31" s="265">
        <f>Electricity!E3</f>
        <v>0</v>
      </c>
      <c r="F31" s="265">
        <f>Electricity!E4</f>
        <v>0</v>
      </c>
      <c r="G31" s="119" t="s">
        <v>579</v>
      </c>
      <c r="N31" s="220"/>
    </row>
    <row r="32" spans="2:14" ht="18" x14ac:dyDescent="0.25">
      <c r="B32" s="586" t="s">
        <v>607</v>
      </c>
      <c r="C32" s="586"/>
      <c r="D32" s="119"/>
      <c r="E32" s="266">
        <f>'Packaging Materials'!D2</f>
        <v>0</v>
      </c>
      <c r="F32" s="266"/>
      <c r="G32" s="119" t="s">
        <v>579</v>
      </c>
    </row>
    <row r="33" spans="2:15" ht="18" x14ac:dyDescent="0.25">
      <c r="B33" s="586" t="s">
        <v>741</v>
      </c>
      <c r="C33" s="586"/>
      <c r="D33" s="119"/>
      <c r="E33" s="266">
        <f>'Business Travel'!D2</f>
        <v>0</v>
      </c>
      <c r="F33" s="266"/>
      <c r="G33" s="119" t="s">
        <v>579</v>
      </c>
      <c r="N33" s="220"/>
    </row>
    <row r="34" spans="2:15" ht="18" x14ac:dyDescent="0.25">
      <c r="B34" s="586" t="s">
        <v>15</v>
      </c>
      <c r="C34" s="586"/>
      <c r="D34" s="119"/>
      <c r="E34" s="266">
        <f>'Freight Transport'!D2</f>
        <v>0</v>
      </c>
      <c r="F34" s="266"/>
      <c r="G34" s="119" t="s">
        <v>579</v>
      </c>
    </row>
    <row r="35" spans="2:15" ht="18" x14ac:dyDescent="0.25">
      <c r="B35" s="586" t="s">
        <v>153</v>
      </c>
      <c r="C35" s="586"/>
      <c r="D35" s="119"/>
      <c r="E35" s="266">
        <f>'Off-site Waste'!C2</f>
        <v>0</v>
      </c>
      <c r="F35" s="266"/>
      <c r="G35" s="119" t="s">
        <v>579</v>
      </c>
    </row>
    <row r="36" spans="2:15" ht="18" x14ac:dyDescent="0.25">
      <c r="B36" s="586"/>
      <c r="C36" s="586"/>
      <c r="D36" s="119" t="s">
        <v>369</v>
      </c>
      <c r="E36" s="267">
        <f>SUM(E26:E35)</f>
        <v>0</v>
      </c>
      <c r="F36" s="267">
        <f>SUM(F26:F35)-E4-E5</f>
        <v>0</v>
      </c>
      <c r="G36" s="119" t="s">
        <v>579</v>
      </c>
    </row>
    <row r="37" spans="2:15" ht="16" x14ac:dyDescent="0.2">
      <c r="B37" s="586"/>
      <c r="C37" s="586"/>
      <c r="D37" s="463"/>
      <c r="F37" s="463" t="s">
        <v>935</v>
      </c>
    </row>
    <row r="38" spans="2:15" ht="14" customHeight="1" x14ac:dyDescent="0.15">
      <c r="B38" s="509" t="s">
        <v>642</v>
      </c>
      <c r="C38" s="585"/>
      <c r="D38" s="585"/>
      <c r="E38" s="585"/>
      <c r="F38" s="585"/>
      <c r="G38" s="585"/>
      <c r="H38" s="585"/>
      <c r="I38" s="585"/>
      <c r="N38" s="115"/>
    </row>
    <row r="39" spans="2:15" ht="14" customHeight="1" x14ac:dyDescent="0.15">
      <c r="B39" s="585"/>
      <c r="C39" s="585"/>
      <c r="D39" s="585"/>
      <c r="E39" s="585"/>
      <c r="F39" s="585"/>
      <c r="G39" s="585"/>
      <c r="H39" s="585"/>
      <c r="I39" s="585"/>
      <c r="N39" s="115"/>
    </row>
    <row r="40" spans="2:15" ht="14" customHeight="1" x14ac:dyDescent="0.15">
      <c r="B40" s="585"/>
      <c r="C40" s="585"/>
      <c r="D40" s="585"/>
      <c r="E40" s="585"/>
      <c r="F40" s="585"/>
      <c r="G40" s="585"/>
      <c r="H40" s="585"/>
      <c r="I40" s="585"/>
      <c r="N40" s="115"/>
    </row>
    <row r="41" spans="2:15" ht="14" customHeight="1" x14ac:dyDescent="0.15">
      <c r="B41" s="585"/>
      <c r="C41" s="585"/>
      <c r="D41" s="585"/>
      <c r="E41" s="585"/>
      <c r="F41" s="585"/>
      <c r="G41" s="585"/>
      <c r="H41" s="585"/>
      <c r="I41" s="585"/>
      <c r="N41" s="115"/>
    </row>
    <row r="42" spans="2:15" ht="170" customHeight="1" x14ac:dyDescent="0.15">
      <c r="B42" s="585"/>
      <c r="C42" s="585"/>
      <c r="D42" s="585"/>
      <c r="E42" s="585"/>
      <c r="F42" s="585"/>
      <c r="G42" s="585"/>
      <c r="H42" s="585"/>
      <c r="I42" s="585"/>
      <c r="N42" s="115"/>
    </row>
    <row r="43" spans="2:15" ht="14" customHeight="1" x14ac:dyDescent="0.15">
      <c r="B43" s="221"/>
      <c r="K43" s="222" t="s">
        <v>439</v>
      </c>
      <c r="L43" s="223"/>
      <c r="M43" s="224" t="s">
        <v>438</v>
      </c>
    </row>
    <row r="44" spans="2:15" s="13" customFormat="1" ht="33" customHeight="1" x14ac:dyDescent="0.15">
      <c r="B44" s="570" t="s">
        <v>936</v>
      </c>
      <c r="C44" s="570"/>
      <c r="D44" s="570"/>
      <c r="E44" s="570"/>
      <c r="F44" s="570"/>
      <c r="G44" s="570"/>
      <c r="H44" s="570"/>
      <c r="I44" s="570"/>
      <c r="J44" s="271"/>
      <c r="K44" s="271"/>
      <c r="L44" s="271"/>
      <c r="M44" s="271"/>
      <c r="N44" s="271"/>
      <c r="O44" s="271"/>
    </row>
    <row r="45" spans="2:15" s="13" customFormat="1" ht="29" customHeight="1" x14ac:dyDescent="0.15">
      <c r="B45" s="570" t="s">
        <v>622</v>
      </c>
      <c r="C45" s="570"/>
      <c r="D45" s="570"/>
      <c r="E45" s="570"/>
      <c r="F45" s="570"/>
      <c r="G45" s="570"/>
      <c r="H45" s="570"/>
      <c r="I45" s="570"/>
      <c r="J45" s="271"/>
      <c r="K45" s="271"/>
      <c r="L45" s="271"/>
      <c r="M45" s="271"/>
      <c r="N45" s="271"/>
      <c r="O45" s="271"/>
    </row>
    <row r="46" spans="2:15" ht="15" customHeight="1" x14ac:dyDescent="0.2">
      <c r="B46" s="261" t="s">
        <v>428</v>
      </c>
      <c r="C46" s="121"/>
      <c r="D46" s="121"/>
      <c r="E46" s="121"/>
      <c r="F46" s="121"/>
      <c r="G46" s="121"/>
      <c r="H46" s="121"/>
      <c r="I46" s="121"/>
      <c r="J46" s="121"/>
      <c r="K46" s="121"/>
      <c r="L46" s="121"/>
      <c r="M46" s="121"/>
      <c r="N46" s="121"/>
      <c r="O46" s="121"/>
    </row>
    <row r="47" spans="2:15" x14ac:dyDescent="0.15">
      <c r="J47" s="121"/>
      <c r="K47" s="121"/>
      <c r="L47" s="121"/>
      <c r="M47" s="121"/>
      <c r="N47" s="121"/>
    </row>
    <row r="48" spans="2:15" ht="18" x14ac:dyDescent="0.2">
      <c r="B48" s="225" t="s">
        <v>119</v>
      </c>
      <c r="C48" s="225"/>
      <c r="D48" s="225"/>
      <c r="E48" s="225"/>
      <c r="F48" s="225"/>
      <c r="G48" s="225"/>
      <c r="H48" s="225"/>
      <c r="I48" s="225"/>
      <c r="J48" s="121"/>
      <c r="K48" s="121"/>
      <c r="L48" s="121"/>
      <c r="M48" s="121"/>
      <c r="N48" s="121"/>
    </row>
    <row r="49" spans="1:14" s="226" customFormat="1" ht="18.5" customHeight="1" x14ac:dyDescent="0.15">
      <c r="B49" s="576" t="s">
        <v>937</v>
      </c>
      <c r="C49" s="577"/>
      <c r="D49" s="577"/>
      <c r="E49" s="577"/>
      <c r="F49" s="577"/>
      <c r="G49" s="577"/>
      <c r="H49" s="577"/>
      <c r="I49" s="578"/>
      <c r="J49" s="121"/>
      <c r="K49" s="121"/>
      <c r="L49" s="121"/>
      <c r="M49" s="121"/>
      <c r="N49" s="121"/>
    </row>
    <row r="50" spans="1:14" s="226" customFormat="1" ht="15" customHeight="1" x14ac:dyDescent="0.15">
      <c r="A50" s="227"/>
      <c r="B50" s="579"/>
      <c r="C50" s="580"/>
      <c r="D50" s="580"/>
      <c r="E50" s="580"/>
      <c r="F50" s="580"/>
      <c r="G50" s="580"/>
      <c r="H50" s="580"/>
      <c r="I50" s="581"/>
      <c r="J50" s="121"/>
      <c r="K50" s="121"/>
      <c r="L50" s="121"/>
      <c r="M50" s="121"/>
      <c r="N50" s="121"/>
    </row>
    <row r="51" spans="1:14" s="226" customFormat="1" x14ac:dyDescent="0.15">
      <c r="A51" s="227"/>
      <c r="B51" s="579"/>
      <c r="C51" s="580"/>
      <c r="D51" s="580"/>
      <c r="E51" s="580"/>
      <c r="F51" s="580"/>
      <c r="G51" s="580"/>
      <c r="H51" s="580"/>
      <c r="I51" s="581"/>
      <c r="J51" s="121"/>
      <c r="K51" s="121"/>
      <c r="L51" s="121"/>
      <c r="M51" s="121"/>
      <c r="N51" s="121"/>
    </row>
    <row r="52" spans="1:14" s="226" customFormat="1" x14ac:dyDescent="0.15">
      <c r="A52" s="227"/>
      <c r="B52" s="579"/>
      <c r="C52" s="580"/>
      <c r="D52" s="580"/>
      <c r="E52" s="580"/>
      <c r="F52" s="580"/>
      <c r="G52" s="580"/>
      <c r="H52" s="580"/>
      <c r="I52" s="581"/>
      <c r="J52" s="121"/>
      <c r="K52" s="121"/>
      <c r="L52" s="121"/>
      <c r="M52" s="121"/>
      <c r="N52" s="121"/>
    </row>
    <row r="53" spans="1:14" s="226" customFormat="1" x14ac:dyDescent="0.15">
      <c r="A53" s="227"/>
      <c r="B53" s="582"/>
      <c r="C53" s="583"/>
      <c r="D53" s="583"/>
      <c r="E53" s="583"/>
      <c r="F53" s="583"/>
      <c r="G53" s="583"/>
      <c r="H53" s="583"/>
      <c r="I53" s="584"/>
      <c r="J53" s="121"/>
      <c r="K53" s="121"/>
      <c r="L53" s="121"/>
      <c r="M53" s="121"/>
      <c r="N53" s="121"/>
    </row>
    <row r="54" spans="1:14" s="226" customFormat="1" x14ac:dyDescent="0.15">
      <c r="A54" s="223"/>
      <c r="B54" s="222"/>
      <c r="C54" s="223"/>
      <c r="D54" s="224"/>
      <c r="E54" s="223"/>
      <c r="F54" s="223"/>
      <c r="G54" s="223"/>
      <c r="H54" s="223"/>
      <c r="I54" s="223"/>
      <c r="J54" s="121"/>
      <c r="K54" s="121"/>
      <c r="L54" s="121"/>
      <c r="M54" s="121"/>
      <c r="N54" s="121"/>
    </row>
    <row r="55" spans="1:14" s="226" customFormat="1" x14ac:dyDescent="0.15">
      <c r="A55" s="223"/>
      <c r="B55" s="222"/>
      <c r="C55" s="223"/>
      <c r="D55" s="223"/>
      <c r="E55" s="223"/>
      <c r="F55" s="223"/>
      <c r="G55" s="223"/>
      <c r="H55" s="223"/>
      <c r="I55" s="223"/>
      <c r="J55" s="121"/>
      <c r="K55" s="121"/>
      <c r="L55" s="121"/>
      <c r="M55" s="121"/>
      <c r="N55" s="121"/>
    </row>
    <row r="56" spans="1:14" s="226" customFormat="1" x14ac:dyDescent="0.15">
      <c r="J56" s="121"/>
      <c r="K56" s="121"/>
      <c r="L56" s="121"/>
      <c r="M56" s="121"/>
      <c r="N56" s="121"/>
    </row>
    <row r="57" spans="1:14" s="226" customFormat="1" x14ac:dyDescent="0.15"/>
    <row r="58" spans="1:14" s="226" customFormat="1" x14ac:dyDescent="0.15"/>
    <row r="59" spans="1:14" s="226" customFormat="1" x14ac:dyDescent="0.15"/>
    <row r="60" spans="1:14" s="226" customFormat="1" x14ac:dyDescent="0.15"/>
    <row r="61" spans="1:14" s="226" customFormat="1" x14ac:dyDescent="0.15"/>
    <row r="62" spans="1:14" s="226" customFormat="1" x14ac:dyDescent="0.15"/>
    <row r="63" spans="1:14" s="226" customFormat="1" x14ac:dyDescent="0.15"/>
    <row r="64" spans="1:14" s="226" customFormat="1" x14ac:dyDescent="0.15"/>
    <row r="65" s="226" customFormat="1" x14ac:dyDescent="0.15"/>
    <row r="66" s="226" customFormat="1" x14ac:dyDescent="0.15"/>
    <row r="67" s="226" customFormat="1" x14ac:dyDescent="0.15"/>
    <row r="68" s="226" customFormat="1" x14ac:dyDescent="0.15"/>
  </sheetData>
  <sheetProtection algorithmName="SHA-512" hashValue="A00q0dGcsppWCLQO4C0uwMgKj2HszU/IfjFfbSfUYJq0H9EUCpyo/esAD44+VsMPQ4HuLh/rQnyIb9Ks42+0Aw==" saltValue="P4jzHC0cYRYdUFFvQf3FfQ==" spinCount="100000" sheet="1" objects="1" scenarios="1" formatColumns="0" formatRows="0"/>
  <mergeCells count="14">
    <mergeCell ref="B49:I53"/>
    <mergeCell ref="B38:I42"/>
    <mergeCell ref="B26:C26"/>
    <mergeCell ref="B27:C27"/>
    <mergeCell ref="B28:C28"/>
    <mergeCell ref="B31:C31"/>
    <mergeCell ref="B33:C33"/>
    <mergeCell ref="B34:C34"/>
    <mergeCell ref="B35:C35"/>
    <mergeCell ref="B32:C32"/>
    <mergeCell ref="B36:C36"/>
    <mergeCell ref="B37:C37"/>
    <mergeCell ref="B44:I44"/>
    <mergeCell ref="B45:I45"/>
  </mergeCells>
  <phoneticPr fontId="10" type="noConversion"/>
  <hyperlinks>
    <hyperlink ref="M43" r:id="rId1" xr:uid="{00000000-0004-0000-0E00-000000000000}"/>
    <hyperlink ref="B46" r:id="rId2" xr:uid="{00000000-0004-0000-0E00-000001000000}"/>
  </hyperlinks>
  <pageMargins left="0.7" right="0.7" top="0.75" bottom="0.75" header="0.3" footer="0.3"/>
  <headerFooter>
    <oddFooter>&amp;R&amp;"-,Bold"&amp;K01+019LIVE Winery Program Greenhouse Gas Emissions Report&amp;"-,Regular"  |  LIVE-XWX-12031401-A0</oddFooter>
  </headerFooter>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267482"/>
  </sheetPr>
  <dimension ref="A1:P19"/>
  <sheetViews>
    <sheetView zoomScale="195" zoomScaleNormal="230" zoomScalePageLayoutView="150" workbookViewId="0">
      <selection activeCell="B1" sqref="B1"/>
    </sheetView>
  </sheetViews>
  <sheetFormatPr baseColWidth="10" defaultColWidth="9.1640625" defaultRowHeight="14" x14ac:dyDescent="0.15"/>
  <cols>
    <col min="1" max="1" width="1.83203125" style="2" customWidth="1"/>
    <col min="2" max="2" width="17.5" style="2" bestFit="1" customWidth="1"/>
    <col min="3" max="3" width="9.33203125" style="10" bestFit="1" customWidth="1"/>
    <col min="4" max="16" width="6.83203125" style="2" customWidth="1"/>
    <col min="17" max="23" width="10.1640625" style="2" customWidth="1"/>
    <col min="24" max="24" width="9.1640625" style="2" customWidth="1"/>
    <col min="25" max="16384" width="9.1640625" style="2"/>
  </cols>
  <sheetData>
    <row r="1" spans="1:16" ht="29" customHeight="1" x14ac:dyDescent="0.25">
      <c r="B1" s="114" t="s">
        <v>409</v>
      </c>
      <c r="P1" s="115"/>
    </row>
    <row r="2" spans="1:16" ht="235" customHeight="1" x14ac:dyDescent="0.25">
      <c r="A2" s="116"/>
      <c r="B2" s="470" t="s">
        <v>874</v>
      </c>
      <c r="C2" s="470"/>
      <c r="D2" s="470"/>
      <c r="E2" s="470"/>
      <c r="F2" s="470"/>
      <c r="G2" s="470"/>
      <c r="H2" s="470"/>
      <c r="I2" s="470"/>
      <c r="J2" s="470"/>
      <c r="K2" s="470"/>
      <c r="L2" s="470"/>
      <c r="M2" s="470"/>
      <c r="N2" s="470"/>
      <c r="O2" s="470"/>
      <c r="P2" s="470"/>
    </row>
    <row r="3" spans="1:16" ht="23" x14ac:dyDescent="0.25">
      <c r="A3" s="116"/>
      <c r="B3" s="377" t="s">
        <v>869</v>
      </c>
      <c r="C3" s="385"/>
      <c r="D3" s="385"/>
      <c r="E3" s="385"/>
      <c r="F3" s="385"/>
      <c r="G3" s="385"/>
      <c r="H3" s="385"/>
      <c r="I3" s="385"/>
      <c r="J3" s="385"/>
      <c r="K3" s="385"/>
      <c r="L3" s="385"/>
      <c r="M3" s="385"/>
      <c r="N3" s="385"/>
      <c r="O3" s="385"/>
      <c r="P3" s="385"/>
    </row>
    <row r="4" spans="1:16" ht="23" x14ac:dyDescent="0.25">
      <c r="A4" s="116"/>
      <c r="B4" s="215" t="s">
        <v>877</v>
      </c>
      <c r="C4" s="385"/>
      <c r="D4" s="385"/>
      <c r="E4" s="385"/>
      <c r="F4" s="385"/>
      <c r="G4" s="443"/>
      <c r="H4" s="385"/>
      <c r="I4" s="385"/>
      <c r="J4" s="385"/>
      <c r="K4" s="385"/>
      <c r="L4" s="385"/>
      <c r="M4" s="385"/>
      <c r="N4" s="385"/>
      <c r="O4" s="385"/>
      <c r="P4" s="385"/>
    </row>
    <row r="5" spans="1:16" ht="23" x14ac:dyDescent="0.25">
      <c r="A5" s="116"/>
      <c r="B5" s="215" t="s">
        <v>870</v>
      </c>
      <c r="C5" s="385"/>
      <c r="D5" s="385"/>
      <c r="E5" s="385"/>
      <c r="F5" s="385"/>
      <c r="G5" s="442"/>
      <c r="H5" s="215"/>
      <c r="I5" s="385"/>
      <c r="J5" s="385"/>
      <c r="K5" s="385"/>
      <c r="L5" s="385"/>
      <c r="M5" s="385"/>
      <c r="N5" s="385"/>
      <c r="O5" s="385"/>
      <c r="P5" s="385"/>
    </row>
    <row r="6" spans="1:16" ht="23" x14ac:dyDescent="0.25">
      <c r="A6" s="116"/>
      <c r="B6" s="470" t="s">
        <v>871</v>
      </c>
      <c r="C6" s="470"/>
      <c r="D6" s="470"/>
      <c r="E6" s="470"/>
      <c r="F6" s="470"/>
      <c r="G6" s="470"/>
      <c r="H6" s="470"/>
      <c r="I6" s="470"/>
      <c r="J6" s="470"/>
      <c r="K6" s="470"/>
      <c r="L6" s="470"/>
      <c r="M6" s="470"/>
      <c r="N6" s="470"/>
      <c r="O6" s="470"/>
      <c r="P6" s="470"/>
    </row>
    <row r="7" spans="1:16" ht="23" x14ac:dyDescent="0.25">
      <c r="A7" s="116"/>
      <c r="B7" s="470"/>
      <c r="C7" s="470"/>
      <c r="D7" s="470"/>
      <c r="E7" s="470"/>
      <c r="F7" s="470"/>
      <c r="G7" s="470"/>
      <c r="H7" s="470"/>
      <c r="I7" s="470"/>
      <c r="J7" s="470"/>
      <c r="K7" s="470"/>
      <c r="L7" s="470"/>
      <c r="M7" s="470"/>
      <c r="N7" s="470"/>
      <c r="O7" s="470"/>
      <c r="P7" s="470"/>
    </row>
    <row r="8" spans="1:16" ht="23" x14ac:dyDescent="0.25">
      <c r="A8" s="116"/>
      <c r="B8" s="377" t="s">
        <v>754</v>
      </c>
      <c r="C8" s="378"/>
      <c r="D8" s="378"/>
      <c r="E8" s="378"/>
      <c r="F8" s="378"/>
      <c r="G8" s="378"/>
      <c r="H8" s="378"/>
      <c r="I8" s="377" t="s">
        <v>755</v>
      </c>
      <c r="J8" s="378"/>
      <c r="K8" s="378"/>
      <c r="L8" s="378"/>
      <c r="M8" s="378"/>
      <c r="N8" s="378"/>
      <c r="O8" s="378"/>
      <c r="P8" s="378"/>
    </row>
    <row r="9" spans="1:16" ht="23" x14ac:dyDescent="0.25">
      <c r="A9" s="116"/>
      <c r="B9" s="471" t="s">
        <v>756</v>
      </c>
      <c r="C9" s="471"/>
      <c r="D9" s="471"/>
      <c r="E9" s="471"/>
      <c r="F9" s="471"/>
      <c r="G9" s="471"/>
      <c r="H9" s="471"/>
      <c r="I9" s="471" t="s">
        <v>868</v>
      </c>
      <c r="J9" s="471"/>
      <c r="K9" s="471"/>
      <c r="L9" s="471"/>
      <c r="M9" s="471"/>
      <c r="N9" s="471"/>
      <c r="O9" s="471"/>
      <c r="P9" s="471"/>
    </row>
    <row r="10" spans="1:16" ht="23" x14ac:dyDescent="0.25">
      <c r="A10" s="116"/>
      <c r="B10" s="471"/>
      <c r="C10" s="471"/>
      <c r="D10" s="471"/>
      <c r="E10" s="471"/>
      <c r="F10" s="471"/>
      <c r="G10" s="471"/>
      <c r="H10" s="471"/>
      <c r="I10" s="471"/>
      <c r="J10" s="471"/>
      <c r="K10" s="471"/>
      <c r="L10" s="471"/>
      <c r="M10" s="471"/>
      <c r="N10" s="471"/>
      <c r="O10" s="471"/>
      <c r="P10" s="471"/>
    </row>
    <row r="11" spans="1:16" ht="36" customHeight="1" x14ac:dyDescent="0.15">
      <c r="B11" s="471"/>
      <c r="C11" s="471"/>
      <c r="D11" s="471"/>
      <c r="E11" s="471"/>
      <c r="F11" s="471"/>
      <c r="G11" s="471"/>
      <c r="H11" s="471"/>
      <c r="I11" s="471"/>
      <c r="J11" s="471"/>
      <c r="K11" s="471"/>
      <c r="L11" s="471"/>
      <c r="M11" s="471"/>
      <c r="N11" s="471"/>
      <c r="O11" s="471"/>
      <c r="P11" s="471"/>
    </row>
    <row r="12" spans="1:16" ht="25" customHeight="1" x14ac:dyDescent="0.2">
      <c r="B12" s="469" t="s">
        <v>410</v>
      </c>
      <c r="C12" s="469"/>
      <c r="D12" s="469"/>
      <c r="E12" s="469"/>
      <c r="F12" s="469"/>
      <c r="G12" s="469"/>
      <c r="H12" s="469"/>
      <c r="I12" s="469"/>
      <c r="J12" s="469"/>
      <c r="K12" s="469"/>
      <c r="L12" s="469"/>
      <c r="M12" s="469"/>
      <c r="N12" s="469"/>
      <c r="O12" s="469"/>
      <c r="P12" s="469"/>
    </row>
    <row r="13" spans="1:16" ht="312" customHeight="1" x14ac:dyDescent="0.15">
      <c r="B13" s="468" t="s">
        <v>872</v>
      </c>
      <c r="C13" s="468"/>
      <c r="D13" s="468"/>
      <c r="E13" s="468"/>
      <c r="F13" s="468"/>
      <c r="G13" s="468"/>
      <c r="H13" s="468"/>
      <c r="I13" s="468"/>
      <c r="J13" s="468"/>
      <c r="K13" s="468"/>
      <c r="L13" s="468"/>
      <c r="M13" s="468"/>
      <c r="N13" s="468"/>
      <c r="O13" s="468"/>
      <c r="P13" s="468"/>
    </row>
    <row r="14" spans="1:16" ht="26" customHeight="1" x14ac:dyDescent="0.15">
      <c r="B14" s="384"/>
      <c r="C14" s="384"/>
      <c r="D14" s="384"/>
      <c r="E14" s="384"/>
      <c r="F14" s="384"/>
      <c r="G14" s="384"/>
      <c r="H14" s="449"/>
      <c r="I14" s="384"/>
      <c r="J14" s="384"/>
      <c r="K14" s="384"/>
      <c r="L14" s="384"/>
      <c r="M14" s="384"/>
      <c r="N14" s="384"/>
      <c r="O14" s="384"/>
      <c r="P14" s="384"/>
    </row>
    <row r="15" spans="1:16" ht="16" x14ac:dyDescent="0.2">
      <c r="H15" s="119"/>
    </row>
    <row r="17" spans="3:8" x14ac:dyDescent="0.15">
      <c r="H17" s="107"/>
    </row>
    <row r="18" spans="3:8" ht="16" x14ac:dyDescent="0.15">
      <c r="H18" s="449" t="s">
        <v>890</v>
      </c>
    </row>
    <row r="19" spans="3:8" ht="18" x14ac:dyDescent="0.2">
      <c r="C19" s="467" t="s">
        <v>347</v>
      </c>
      <c r="D19" s="467"/>
      <c r="E19" s="467"/>
      <c r="F19" s="467"/>
      <c r="H19" s="119" t="s">
        <v>891</v>
      </c>
    </row>
  </sheetData>
  <sheetProtection algorithmName="SHA-512" hashValue="weSTConbfnep8ygJ7H7xv4BBA/m16MgMd384NxTFpK5lCw+y3MrmUCq76hMCq0rsjBsIjeAFX2c3l1vuX506qw==" saltValue="cW21Wrup9seyMbujR6A6Fg==" spinCount="100000" sheet="1" objects="1" scenarios="1"/>
  <mergeCells count="7">
    <mergeCell ref="C19:F19"/>
    <mergeCell ref="B13:P13"/>
    <mergeCell ref="B12:P12"/>
    <mergeCell ref="B2:P2"/>
    <mergeCell ref="B9:H11"/>
    <mergeCell ref="I9:P11"/>
    <mergeCell ref="B6:P7"/>
  </mergeCells>
  <phoneticPr fontId="10" type="noConversion"/>
  <hyperlinks>
    <hyperlink ref="C19" r:id="rId1" xr:uid="{00000000-0004-0000-0200-000000000000}"/>
  </hyperlinks>
  <pageMargins left="0.7" right="0.7" top="0.75" bottom="0.75" header="0.3" footer="0.3"/>
  <headerFooter>
    <oddFooter>&amp;R&amp;"-,Bold"&amp;K01+018LIVE Winery Program Greenhouse Gas Emissions Report&amp;"-,Regular"  |  LIVE-XWX-12031401-A0</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267482"/>
    <pageSetUpPr fitToPage="1"/>
  </sheetPr>
  <dimension ref="B1:J36"/>
  <sheetViews>
    <sheetView tabSelected="1" zoomScale="142" zoomScaleNormal="100" workbookViewId="0">
      <selection activeCell="I7" sqref="I7"/>
    </sheetView>
  </sheetViews>
  <sheetFormatPr baseColWidth="10" defaultColWidth="9.1640625" defaultRowHeight="14" x14ac:dyDescent="0.2"/>
  <cols>
    <col min="1" max="1" width="2.6640625" style="124" customWidth="1"/>
    <col min="2" max="2" width="4" style="124" customWidth="1"/>
    <col min="3" max="3" width="7.83203125" style="124" customWidth="1"/>
    <col min="4" max="7" width="9.1640625" style="124"/>
    <col min="8" max="8" width="18" style="124" customWidth="1"/>
    <col min="9" max="9" width="58.5" style="124" customWidth="1"/>
    <col min="10" max="10" width="1.83203125" style="124" customWidth="1"/>
    <col min="11" max="11" width="2" style="124" customWidth="1"/>
    <col min="12" max="12" width="14" style="124" customWidth="1"/>
    <col min="13" max="16384" width="9.1640625" style="124"/>
  </cols>
  <sheetData>
    <row r="1" spans="2:9" ht="25.5" customHeight="1" x14ac:dyDescent="0.2">
      <c r="B1" s="347" t="s">
        <v>13</v>
      </c>
    </row>
    <row r="2" spans="2:9" ht="18.75" customHeight="1" x14ac:dyDescent="0.2"/>
    <row r="3" spans="2:9" ht="15.75" customHeight="1" x14ac:dyDescent="0.2">
      <c r="B3" s="348" t="s">
        <v>667</v>
      </c>
      <c r="C3" s="216"/>
      <c r="D3" s="216"/>
      <c r="E3" s="216"/>
      <c r="F3" s="216"/>
      <c r="G3" s="216"/>
      <c r="H3" s="216"/>
      <c r="I3" s="390" t="s">
        <v>938</v>
      </c>
    </row>
    <row r="4" spans="2:9" ht="11" customHeight="1" x14ac:dyDescent="0.2">
      <c r="B4" s="216"/>
      <c r="C4" s="216"/>
      <c r="D4" s="216"/>
      <c r="E4" s="216"/>
      <c r="F4" s="216"/>
      <c r="G4" s="216"/>
      <c r="H4" s="216"/>
      <c r="I4" s="456"/>
    </row>
    <row r="5" spans="2:9" ht="15.75" customHeight="1" x14ac:dyDescent="0.2">
      <c r="B5" s="346" t="s">
        <v>174</v>
      </c>
      <c r="C5" s="216"/>
      <c r="D5" s="216"/>
      <c r="E5" s="216"/>
      <c r="F5" s="216"/>
      <c r="G5" s="216"/>
      <c r="H5" s="216"/>
      <c r="I5" s="390">
        <v>2025</v>
      </c>
    </row>
    <row r="6" spans="2:9" ht="11" customHeight="1" x14ac:dyDescent="0.2">
      <c r="B6" s="216"/>
      <c r="C6" s="216"/>
      <c r="D6" s="216"/>
      <c r="E6" s="216"/>
      <c r="F6" s="216"/>
      <c r="G6" s="216"/>
      <c r="H6" s="216"/>
      <c r="I6" s="456"/>
    </row>
    <row r="7" spans="2:9" ht="16" x14ac:dyDescent="0.2">
      <c r="B7" s="346" t="s">
        <v>530</v>
      </c>
      <c r="C7" s="216"/>
      <c r="D7" s="216"/>
      <c r="E7" s="216"/>
      <c r="F7" s="216"/>
      <c r="G7" s="216"/>
      <c r="H7" s="216"/>
      <c r="I7" s="390"/>
    </row>
    <row r="8" spans="2:9" ht="11" customHeight="1" x14ac:dyDescent="0.2">
      <c r="B8" s="216"/>
      <c r="C8" s="216"/>
      <c r="D8" s="216"/>
      <c r="E8" s="216"/>
      <c r="F8" s="216"/>
      <c r="G8" s="216"/>
      <c r="H8" s="216"/>
      <c r="I8" s="456"/>
    </row>
    <row r="9" spans="2:9" ht="15.75" customHeight="1" x14ac:dyDescent="0.2">
      <c r="B9" s="216"/>
      <c r="C9" s="216" t="s">
        <v>674</v>
      </c>
      <c r="D9" s="216"/>
      <c r="E9" s="216"/>
      <c r="F9" s="216"/>
      <c r="G9" s="216"/>
      <c r="H9" s="216"/>
      <c r="I9" s="390"/>
    </row>
    <row r="10" spans="2:9" ht="11" customHeight="1" x14ac:dyDescent="0.2">
      <c r="B10" s="216"/>
      <c r="C10" s="216"/>
      <c r="D10" s="216"/>
      <c r="E10" s="216"/>
      <c r="F10" s="216"/>
      <c r="G10" s="216"/>
      <c r="H10" s="216"/>
      <c r="I10" s="456"/>
    </row>
    <row r="11" spans="2:9" ht="15.75" customHeight="1" x14ac:dyDescent="0.2">
      <c r="B11" s="216"/>
      <c r="C11" s="216" t="s">
        <v>120</v>
      </c>
      <c r="D11" s="216"/>
      <c r="E11" s="216"/>
      <c r="F11" s="216"/>
      <c r="G11" s="216"/>
      <c r="H11" s="216"/>
      <c r="I11" s="390"/>
    </row>
    <row r="12" spans="2:9" ht="11" customHeight="1" x14ac:dyDescent="0.2">
      <c r="B12" s="216"/>
      <c r="C12" s="216"/>
      <c r="D12" s="216"/>
      <c r="E12" s="216"/>
      <c r="F12" s="216"/>
      <c r="G12" s="216"/>
      <c r="H12" s="216"/>
      <c r="I12" s="456"/>
    </row>
    <row r="13" spans="2:9" ht="15.75" customHeight="1" x14ac:dyDescent="0.2">
      <c r="B13" s="216"/>
      <c r="C13" s="216" t="s">
        <v>673</v>
      </c>
      <c r="D13" s="216"/>
      <c r="E13" s="216"/>
      <c r="F13" s="216"/>
      <c r="G13" s="216"/>
      <c r="H13" s="216"/>
      <c r="I13" s="390"/>
    </row>
    <row r="14" spans="2:9" ht="11" customHeight="1" x14ac:dyDescent="0.2">
      <c r="B14" s="216"/>
      <c r="C14" s="216"/>
      <c r="D14" s="216"/>
      <c r="E14" s="216"/>
      <c r="F14" s="216"/>
      <c r="G14" s="216"/>
      <c r="H14" s="216"/>
      <c r="I14" s="456"/>
    </row>
    <row r="15" spans="2:9" ht="15.75" customHeight="1" x14ac:dyDescent="0.2">
      <c r="B15" s="216"/>
      <c r="C15" s="216" t="s">
        <v>696</v>
      </c>
      <c r="D15" s="216"/>
      <c r="E15" s="216"/>
      <c r="F15" s="216"/>
      <c r="G15" s="216"/>
      <c r="H15" s="216"/>
      <c r="I15" s="390"/>
    </row>
    <row r="16" spans="2:9" ht="11" customHeight="1" x14ac:dyDescent="0.2">
      <c r="B16" s="216"/>
      <c r="C16" s="216"/>
      <c r="D16" s="216"/>
      <c r="E16" s="216"/>
      <c r="F16" s="216"/>
      <c r="G16" s="216"/>
      <c r="H16" s="216"/>
      <c r="I16" s="456"/>
    </row>
    <row r="17" spans="2:10" ht="16" x14ac:dyDescent="0.2">
      <c r="B17" s="346" t="s">
        <v>82</v>
      </c>
      <c r="C17" s="216"/>
      <c r="D17" s="216"/>
      <c r="E17" s="216"/>
      <c r="F17" s="216"/>
      <c r="G17" s="216"/>
      <c r="H17" s="216"/>
      <c r="I17" s="390"/>
    </row>
    <row r="18" spans="2:10" ht="11" customHeight="1" x14ac:dyDescent="0.2">
      <c r="B18" s="216"/>
      <c r="C18" s="216"/>
      <c r="D18" s="216"/>
      <c r="E18" s="216"/>
      <c r="F18" s="216"/>
      <c r="G18" s="216"/>
      <c r="H18" s="216"/>
      <c r="I18" s="456"/>
    </row>
    <row r="19" spans="2:10" ht="16" x14ac:dyDescent="0.2">
      <c r="B19" s="216"/>
      <c r="C19" s="216" t="s">
        <v>298</v>
      </c>
      <c r="D19" s="216"/>
      <c r="E19" s="216"/>
      <c r="F19" s="216"/>
      <c r="G19" s="216"/>
      <c r="H19" s="216"/>
      <c r="I19" s="390"/>
    </row>
    <row r="20" spans="2:10" ht="11" customHeight="1" x14ac:dyDescent="0.2">
      <c r="B20" s="216"/>
      <c r="C20" s="216"/>
      <c r="D20" s="216"/>
      <c r="E20" s="216"/>
      <c r="F20" s="216"/>
      <c r="G20" s="216"/>
      <c r="H20" s="216"/>
      <c r="I20" s="456"/>
    </row>
    <row r="21" spans="2:10" ht="16" x14ac:dyDescent="0.2">
      <c r="B21" s="346" t="s">
        <v>83</v>
      </c>
      <c r="C21" s="216"/>
      <c r="D21" s="216"/>
      <c r="E21" s="216"/>
      <c r="F21" s="216"/>
      <c r="G21" s="216"/>
      <c r="H21" s="216"/>
      <c r="I21" s="390"/>
    </row>
    <row r="22" spans="2:10" ht="11" customHeight="1" x14ac:dyDescent="0.2">
      <c r="B22" s="216"/>
      <c r="C22" s="216"/>
      <c r="D22" s="216"/>
      <c r="E22" s="216"/>
      <c r="F22" s="216"/>
      <c r="G22" s="216"/>
      <c r="H22" s="216"/>
      <c r="I22" s="456"/>
    </row>
    <row r="23" spans="2:10" ht="16" x14ac:dyDescent="0.2">
      <c r="B23" s="216"/>
      <c r="C23" s="216" t="s">
        <v>710</v>
      </c>
      <c r="D23" s="216"/>
      <c r="E23" s="216"/>
      <c r="F23" s="216"/>
      <c r="G23" s="216"/>
      <c r="H23" s="216"/>
      <c r="I23" s="390"/>
    </row>
    <row r="24" spans="2:10" x14ac:dyDescent="0.2">
      <c r="D24" s="198"/>
      <c r="E24" s="198"/>
      <c r="F24" s="198"/>
      <c r="G24" s="198"/>
      <c r="H24" s="198"/>
      <c r="I24" s="349"/>
    </row>
    <row r="25" spans="2:10" x14ac:dyDescent="0.2">
      <c r="D25" s="198"/>
      <c r="E25" s="198"/>
      <c r="F25" s="198"/>
      <c r="G25" s="198"/>
      <c r="H25" s="198"/>
      <c r="I25" s="349"/>
    </row>
    <row r="26" spans="2:10" x14ac:dyDescent="0.2">
      <c r="D26" s="198"/>
      <c r="E26" s="198"/>
      <c r="F26" s="198"/>
      <c r="G26" s="198"/>
      <c r="H26" s="198"/>
      <c r="I26" s="349"/>
    </row>
    <row r="27" spans="2:10" ht="18" x14ac:dyDescent="0.2">
      <c r="B27" s="472" t="s">
        <v>348</v>
      </c>
      <c r="C27" s="472"/>
      <c r="D27" s="472"/>
      <c r="E27" s="472"/>
      <c r="F27" s="472"/>
      <c r="G27" s="472"/>
      <c r="H27" s="472"/>
      <c r="I27" s="472"/>
      <c r="J27" s="472"/>
    </row>
    <row r="28" spans="2:10" ht="15" customHeight="1" x14ac:dyDescent="0.2">
      <c r="B28" s="473"/>
      <c r="C28" s="474"/>
      <c r="D28" s="474"/>
      <c r="E28" s="474"/>
      <c r="F28" s="474"/>
      <c r="G28" s="474"/>
      <c r="H28" s="474"/>
      <c r="I28" s="474"/>
      <c r="J28" s="475"/>
    </row>
    <row r="29" spans="2:10" x14ac:dyDescent="0.2">
      <c r="B29" s="476"/>
      <c r="C29" s="477"/>
      <c r="D29" s="477"/>
      <c r="E29" s="477"/>
      <c r="F29" s="477"/>
      <c r="G29" s="477"/>
      <c r="H29" s="477"/>
      <c r="I29" s="477"/>
      <c r="J29" s="478"/>
    </row>
    <row r="30" spans="2:10" x14ac:dyDescent="0.2">
      <c r="B30" s="476"/>
      <c r="C30" s="477"/>
      <c r="D30" s="477"/>
      <c r="E30" s="477"/>
      <c r="F30" s="477"/>
      <c r="G30" s="477"/>
      <c r="H30" s="477"/>
      <c r="I30" s="477"/>
      <c r="J30" s="478"/>
    </row>
    <row r="31" spans="2:10" x14ac:dyDescent="0.2">
      <c r="B31" s="476"/>
      <c r="C31" s="477"/>
      <c r="D31" s="477"/>
      <c r="E31" s="477"/>
      <c r="F31" s="477"/>
      <c r="G31" s="477"/>
      <c r="H31" s="477"/>
      <c r="I31" s="477"/>
      <c r="J31" s="478"/>
    </row>
    <row r="32" spans="2:10" x14ac:dyDescent="0.2">
      <c r="B32" s="476"/>
      <c r="C32" s="477"/>
      <c r="D32" s="477"/>
      <c r="E32" s="477"/>
      <c r="F32" s="477"/>
      <c r="G32" s="477"/>
      <c r="H32" s="477"/>
      <c r="I32" s="477"/>
      <c r="J32" s="478"/>
    </row>
    <row r="33" spans="2:10" x14ac:dyDescent="0.2">
      <c r="B33" s="476"/>
      <c r="C33" s="477"/>
      <c r="D33" s="477"/>
      <c r="E33" s="477"/>
      <c r="F33" s="477"/>
      <c r="G33" s="477"/>
      <c r="H33" s="477"/>
      <c r="I33" s="477"/>
      <c r="J33" s="478"/>
    </row>
    <row r="34" spans="2:10" x14ac:dyDescent="0.2">
      <c r="B34" s="476"/>
      <c r="C34" s="477"/>
      <c r="D34" s="477"/>
      <c r="E34" s="477"/>
      <c r="F34" s="477"/>
      <c r="G34" s="477"/>
      <c r="H34" s="477"/>
      <c r="I34" s="477"/>
      <c r="J34" s="478"/>
    </row>
    <row r="35" spans="2:10" x14ac:dyDescent="0.2">
      <c r="B35" s="476"/>
      <c r="C35" s="477"/>
      <c r="D35" s="477"/>
      <c r="E35" s="477"/>
      <c r="F35" s="477"/>
      <c r="G35" s="477"/>
      <c r="H35" s="477"/>
      <c r="I35" s="477"/>
      <c r="J35" s="478"/>
    </row>
    <row r="36" spans="2:10" x14ac:dyDescent="0.2">
      <c r="B36" s="479"/>
      <c r="C36" s="480"/>
      <c r="D36" s="480"/>
      <c r="E36" s="480"/>
      <c r="F36" s="480"/>
      <c r="G36" s="480"/>
      <c r="H36" s="480"/>
      <c r="I36" s="480"/>
      <c r="J36" s="481"/>
    </row>
  </sheetData>
  <sheetProtection algorithmName="SHA-512" hashValue="CQhYb4n3GrPepG84axC5BCdd5aA0sloZnL2Z+zBmQ+f4I7Zp18KkFxlPjha+vKwA+p74+53HgD7d58TnT5tkLw==" saltValue="GE2qrgyaw4xL1hoZP/PcQw==" spinCount="100000" sheet="1" objects="1" scenarios="1"/>
  <mergeCells count="2">
    <mergeCell ref="B27:J27"/>
    <mergeCell ref="B28:J36"/>
  </mergeCells>
  <phoneticPr fontId="10" type="noConversion"/>
  <dataValidations count="2">
    <dataValidation type="whole" allowBlank="1" showInputMessage="1" showErrorMessage="1" errorTitle="Input error" error="Please enter as a whole number." promptTitle="Please enter as a whole number." sqref="I9" xr:uid="{00000000-0002-0000-0300-000000000000}">
      <formula1>0</formula1>
      <formula2>100000000000000</formula2>
    </dataValidation>
    <dataValidation type="textLength" allowBlank="1" showInputMessage="1" showErrorMessage="1" errorTitle="Year" error="Please enter a four digit year." sqref="I5" xr:uid="{00000000-0002-0000-0300-000001000000}">
      <formula1>4</formula1>
      <formula2>4</formula2>
    </dataValidation>
  </dataValidations>
  <pageMargins left="0.7" right="0.7" top="0.75" bottom="0.75" header="0.3" footer="0.3"/>
  <headerFooter>
    <oddFooter>&amp;R&amp;"-,Bold"&amp;K01+020LIVE Winery Program Greenhouse Gas Emissions Report&amp;"-,Regular"  |  LIVE-XWX-12031401-A0</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5"/>
    <pageSetUpPr fitToPage="1"/>
  </sheetPr>
  <dimension ref="A1:FU82"/>
  <sheetViews>
    <sheetView zoomScale="121" zoomScaleNormal="100" zoomScalePageLayoutView="170" workbookViewId="0">
      <selection activeCell="D10" sqref="D10"/>
    </sheetView>
  </sheetViews>
  <sheetFormatPr baseColWidth="10" defaultColWidth="9.1640625" defaultRowHeight="14" outlineLevelCol="1" x14ac:dyDescent="0.15"/>
  <cols>
    <col min="1" max="1" width="3.5" style="2" customWidth="1"/>
    <col min="2" max="2" width="22" style="2" customWidth="1"/>
    <col min="3" max="3" width="14.33203125" style="10" customWidth="1"/>
    <col min="4" max="15" width="10" style="2" customWidth="1"/>
    <col min="16" max="16" width="8" style="2" customWidth="1"/>
    <col min="17" max="17" width="9" style="107" hidden="1" customWidth="1" outlineLevel="1"/>
    <col min="18" max="26" width="10.1640625" style="107" hidden="1" customWidth="1" outlineLevel="1"/>
    <col min="27" max="27" width="12" style="107" hidden="1" customWidth="1" outlineLevel="1"/>
    <col min="28" max="28" width="9.1640625" style="107" hidden="1" customWidth="1" outlineLevel="1"/>
    <col min="29" max="29" width="13.5" style="2" customWidth="1" collapsed="1"/>
    <col min="30" max="177" width="9.1640625" style="2"/>
    <col min="178" max="16384" width="9.1640625" style="107"/>
  </cols>
  <sheetData>
    <row r="1" spans="1:177" ht="25.5" customHeight="1" x14ac:dyDescent="0.25">
      <c r="B1" s="122" t="s">
        <v>77</v>
      </c>
      <c r="Q1" s="115"/>
      <c r="R1" s="2"/>
      <c r="S1" s="2"/>
      <c r="T1" s="2"/>
      <c r="U1" s="2"/>
      <c r="V1" s="2"/>
      <c r="W1" s="2"/>
      <c r="X1" s="2"/>
      <c r="Y1" s="2"/>
      <c r="Z1" s="2"/>
      <c r="AA1" s="2"/>
      <c r="AB1" s="2"/>
      <c r="AC1" s="2" t="s">
        <v>892</v>
      </c>
    </row>
    <row r="2" spans="1:177" ht="14" customHeight="1" x14ac:dyDescent="0.15">
      <c r="B2" s="123"/>
      <c r="C2" s="123"/>
      <c r="D2" s="123"/>
      <c r="E2" s="123"/>
      <c r="F2" s="123"/>
      <c r="G2" s="123"/>
      <c r="H2" s="123"/>
      <c r="I2" s="123"/>
      <c r="J2" s="123"/>
      <c r="K2" s="123"/>
      <c r="L2" s="123"/>
      <c r="M2" s="123"/>
      <c r="N2" s="123"/>
      <c r="O2" s="123"/>
      <c r="P2" s="123"/>
      <c r="Q2" s="123"/>
      <c r="R2" s="2"/>
      <c r="S2" s="2"/>
      <c r="T2" s="2"/>
      <c r="U2" s="2"/>
      <c r="V2" s="2"/>
      <c r="W2" s="2"/>
      <c r="X2" s="2"/>
      <c r="Y2" s="2"/>
      <c r="Z2" s="2"/>
      <c r="AA2" s="2"/>
      <c r="AB2" s="2"/>
    </row>
    <row r="3" spans="1:177" s="127" customFormat="1" ht="20" x14ac:dyDescent="0.15">
      <c r="A3" s="124"/>
      <c r="B3" s="487" t="s">
        <v>626</v>
      </c>
      <c r="C3" s="487"/>
      <c r="D3" s="487"/>
      <c r="E3" s="125">
        <f>SUM(AB26:AB37)+Z10</f>
        <v>0</v>
      </c>
      <c r="F3" s="126" t="s">
        <v>497</v>
      </c>
      <c r="G3" s="126"/>
      <c r="H3" s="123"/>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c r="FU3" s="124"/>
    </row>
    <row r="4" spans="1:177" s="127" customFormat="1" ht="20" x14ac:dyDescent="0.15">
      <c r="A4" s="124"/>
      <c r="B4" s="487" t="s">
        <v>595</v>
      </c>
      <c r="C4" s="487"/>
      <c r="D4" s="487"/>
      <c r="E4" s="125">
        <f>Z17+Z19</f>
        <v>0</v>
      </c>
      <c r="F4" s="126" t="s">
        <v>497</v>
      </c>
      <c r="G4" s="124"/>
      <c r="H4" s="2"/>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row>
    <row r="5" spans="1:177" ht="23" x14ac:dyDescent="0.25">
      <c r="A5" s="114"/>
      <c r="B5" s="119" t="s">
        <v>198</v>
      </c>
      <c r="Q5" s="2"/>
      <c r="R5" s="2"/>
      <c r="S5" s="2"/>
      <c r="T5" s="2"/>
      <c r="U5" s="2"/>
      <c r="V5" s="2"/>
      <c r="W5" s="2"/>
      <c r="X5" s="2"/>
      <c r="Y5" s="2"/>
      <c r="Z5" s="2"/>
      <c r="AA5" s="2"/>
      <c r="AB5" s="2"/>
    </row>
    <row r="6" spans="1:177" ht="73" customHeight="1" x14ac:dyDescent="0.15">
      <c r="B6" s="488" t="s">
        <v>804</v>
      </c>
      <c r="C6" s="488"/>
      <c r="D6" s="488"/>
      <c r="E6" s="488"/>
      <c r="F6" s="488"/>
      <c r="G6" s="488"/>
      <c r="H6" s="488"/>
      <c r="I6" s="488"/>
      <c r="J6" s="488"/>
      <c r="K6" s="488"/>
      <c r="L6" s="488"/>
      <c r="M6" s="488"/>
      <c r="N6" s="488"/>
      <c r="O6" s="488"/>
      <c r="P6" s="488"/>
      <c r="Q6" s="488"/>
      <c r="R6" s="2"/>
      <c r="S6" s="2"/>
      <c r="T6" s="2"/>
      <c r="U6" s="2"/>
      <c r="V6" s="2"/>
      <c r="W6" s="2"/>
      <c r="X6" s="2"/>
      <c r="Y6" s="2"/>
      <c r="Z6" s="2"/>
      <c r="AA6" s="2"/>
      <c r="AB6" s="2"/>
    </row>
    <row r="7" spans="1:177" x14ac:dyDescent="0.15">
      <c r="R7" s="2"/>
      <c r="S7" s="2"/>
      <c r="T7" s="2"/>
      <c r="U7" s="2"/>
      <c r="V7" s="2"/>
      <c r="W7" s="2"/>
      <c r="X7" s="2"/>
      <c r="Y7" s="2"/>
      <c r="Z7" s="2"/>
      <c r="AA7" s="124"/>
      <c r="AB7" s="2"/>
    </row>
    <row r="8" spans="1:177" ht="20.25" customHeight="1" x14ac:dyDescent="0.2">
      <c r="B8" s="490" t="s">
        <v>431</v>
      </c>
      <c r="C8" s="490"/>
      <c r="D8" s="490"/>
      <c r="E8" s="490"/>
      <c r="F8" s="490"/>
      <c r="G8" s="490"/>
      <c r="H8" s="490"/>
      <c r="I8" s="490"/>
      <c r="J8" s="490"/>
      <c r="K8" s="490"/>
      <c r="L8" s="490"/>
      <c r="M8" s="490"/>
      <c r="N8" s="490"/>
      <c r="O8" s="490"/>
      <c r="P8" s="490"/>
      <c r="Q8" s="490"/>
      <c r="R8" s="2"/>
      <c r="S8" s="2"/>
      <c r="T8" s="2"/>
      <c r="U8" s="2"/>
      <c r="V8" s="2"/>
      <c r="W8" s="2"/>
      <c r="X8" s="2"/>
      <c r="Y8" s="2"/>
      <c r="Z8" s="2"/>
      <c r="AA8" s="124"/>
      <c r="AB8" s="139"/>
    </row>
    <row r="9" spans="1:177" s="21" customFormat="1" ht="30" customHeight="1" x14ac:dyDescent="0.2">
      <c r="A9" s="121"/>
      <c r="B9" s="121"/>
      <c r="C9" s="140"/>
      <c r="D9" s="128" t="s">
        <v>0</v>
      </c>
      <c r="E9" s="128" t="s">
        <v>1</v>
      </c>
      <c r="F9" s="128" t="s">
        <v>2</v>
      </c>
      <c r="G9" s="128" t="s">
        <v>3</v>
      </c>
      <c r="H9" s="128" t="s">
        <v>4</v>
      </c>
      <c r="I9" s="128" t="s">
        <v>5</v>
      </c>
      <c r="J9" s="128" t="s">
        <v>6</v>
      </c>
      <c r="K9" s="128" t="s">
        <v>7</v>
      </c>
      <c r="L9" s="128" t="s">
        <v>8</v>
      </c>
      <c r="M9" s="128" t="s">
        <v>9</v>
      </c>
      <c r="N9" s="128" t="s">
        <v>10</v>
      </c>
      <c r="O9" s="128" t="s">
        <v>11</v>
      </c>
      <c r="P9" s="280"/>
      <c r="Q9" s="332" t="s">
        <v>303</v>
      </c>
      <c r="R9" s="128" t="s">
        <v>531</v>
      </c>
      <c r="S9" s="128" t="s">
        <v>532</v>
      </c>
      <c r="T9" s="128" t="s">
        <v>533</v>
      </c>
      <c r="U9" s="128" t="s">
        <v>534</v>
      </c>
      <c r="V9" s="128" t="s">
        <v>535</v>
      </c>
      <c r="W9" s="128" t="s">
        <v>551</v>
      </c>
      <c r="X9" s="128" t="s">
        <v>646</v>
      </c>
      <c r="Y9" s="128" t="s">
        <v>647</v>
      </c>
      <c r="Z9" s="257" t="s">
        <v>548</v>
      </c>
      <c r="AA9" s="198"/>
      <c r="AB9" s="274"/>
      <c r="AC9" s="128" t="s">
        <v>543</v>
      </c>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row>
    <row r="10" spans="1:177" s="21" customFormat="1" ht="16" customHeight="1" x14ac:dyDescent="0.15">
      <c r="A10" s="121"/>
      <c r="B10" s="121" t="s">
        <v>100</v>
      </c>
      <c r="C10" s="140" t="s">
        <v>413</v>
      </c>
      <c r="D10" s="391"/>
      <c r="E10" s="391"/>
      <c r="F10" s="391"/>
      <c r="G10" s="391"/>
      <c r="H10" s="391"/>
      <c r="I10" s="391"/>
      <c r="J10" s="391"/>
      <c r="K10" s="391"/>
      <c r="L10" s="391"/>
      <c r="M10" s="391"/>
      <c r="N10" s="391"/>
      <c r="O10" s="391"/>
      <c r="P10" s="280"/>
      <c r="Q10" s="132">
        <f>SUM(D10:O10)</f>
        <v>0</v>
      </c>
      <c r="R10" s="133">
        <f>VLOOKUP(B10,'Emissions Factors'!$B$32:$J$48,7,FALSE)</f>
        <v>5.3060000000000009</v>
      </c>
      <c r="S10" s="133">
        <f>VLOOKUP(B10,'Emissions Factors'!$B$32:$J$48,8,FALSE)</f>
        <v>1E-4</v>
      </c>
      <c r="T10" s="134">
        <f>'Emissions Factors'!$C$75</f>
        <v>28</v>
      </c>
      <c r="U10" s="135">
        <f>VLOOKUP(B10,'Emissions Factors'!$B$32:$J$48,9,FALSE)</f>
        <v>1.0000000000000001E-5</v>
      </c>
      <c r="V10" s="134">
        <f>'Emissions Factors'!$C$76</f>
        <v>265</v>
      </c>
      <c r="W10" s="136">
        <f>(Q10*R10)/1000</f>
        <v>0</v>
      </c>
      <c r="X10" s="136">
        <f>(Q10*S10)/1000</f>
        <v>0</v>
      </c>
      <c r="Y10" s="136">
        <f>(Q10*U10)/1000</f>
        <v>0</v>
      </c>
      <c r="Z10" s="136">
        <f>SUM(W10,X10*T10,Y10*V10)</f>
        <v>0</v>
      </c>
      <c r="AA10" s="198"/>
      <c r="AB10" s="274"/>
      <c r="AC10" s="418">
        <f>Z10</f>
        <v>0</v>
      </c>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row>
    <row r="11" spans="1:177" s="21" customFormat="1" ht="15" customHeight="1" x14ac:dyDescent="0.15">
      <c r="A11" s="121"/>
      <c r="B11" s="491" t="s">
        <v>778</v>
      </c>
      <c r="C11" s="492"/>
      <c r="D11" s="493"/>
      <c r="E11" s="494"/>
      <c r="F11" s="494"/>
      <c r="G11" s="494"/>
      <c r="H11" s="494"/>
      <c r="I11" s="494"/>
      <c r="J11" s="494"/>
      <c r="K11" s="494"/>
      <c r="L11" s="494"/>
      <c r="M11" s="494"/>
      <c r="N11" s="494"/>
      <c r="O11" s="495"/>
      <c r="P11" s="280"/>
      <c r="Q11" s="257"/>
      <c r="R11" s="274"/>
      <c r="S11" s="274"/>
      <c r="T11" s="274"/>
      <c r="U11" s="274"/>
      <c r="V11" s="274"/>
      <c r="W11" s="274"/>
      <c r="X11" s="274"/>
      <c r="Y11" s="274"/>
      <c r="Z11" s="257"/>
      <c r="AA11" s="198"/>
      <c r="AB11" s="274"/>
      <c r="AC11" s="274"/>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row>
    <row r="12" spans="1:177" s="21" customFormat="1" ht="13" x14ac:dyDescent="0.15">
      <c r="A12" s="121"/>
      <c r="B12" s="4"/>
      <c r="C12" s="140"/>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98"/>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row>
    <row r="13" spans="1:177" s="21" customFormat="1" ht="13" x14ac:dyDescent="0.15">
      <c r="A13" s="121"/>
      <c r="B13" s="4"/>
      <c r="C13" s="140"/>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row>
    <row r="14" spans="1:177" ht="18" x14ac:dyDescent="0.2">
      <c r="B14" s="490" t="s">
        <v>625</v>
      </c>
      <c r="C14" s="490"/>
      <c r="D14" s="490"/>
      <c r="E14" s="490"/>
      <c r="F14" s="490"/>
      <c r="G14" s="490"/>
      <c r="H14" s="490"/>
      <c r="I14" s="490"/>
      <c r="J14" s="490"/>
      <c r="K14" s="490"/>
      <c r="L14" s="490"/>
      <c r="M14" s="490"/>
      <c r="N14" s="490"/>
      <c r="O14" s="490"/>
      <c r="P14" s="490"/>
      <c r="Q14" s="490"/>
      <c r="R14" s="2"/>
      <c r="S14" s="2"/>
      <c r="T14" s="2"/>
      <c r="U14" s="2"/>
      <c r="V14" s="2"/>
      <c r="W14" s="2"/>
      <c r="X14" s="2"/>
      <c r="Y14" s="2"/>
      <c r="Z14" s="2"/>
      <c r="AA14" s="124"/>
      <c r="AB14" s="2"/>
    </row>
    <row r="15" spans="1:177" s="21" customFormat="1" ht="13" x14ac:dyDescent="0.15">
      <c r="A15" s="121"/>
      <c r="B15" s="141" t="s">
        <v>806</v>
      </c>
      <c r="C15" s="140"/>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98"/>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row>
    <row r="16" spans="1:177" s="21" customFormat="1" ht="32" x14ac:dyDescent="0.2">
      <c r="A16" s="121"/>
      <c r="B16" s="121"/>
      <c r="C16" s="140"/>
      <c r="D16" s="128" t="s">
        <v>0</v>
      </c>
      <c r="E16" s="128" t="s">
        <v>1</v>
      </c>
      <c r="F16" s="128" t="s">
        <v>2</v>
      </c>
      <c r="G16" s="128" t="s">
        <v>3</v>
      </c>
      <c r="H16" s="128" t="s">
        <v>4</v>
      </c>
      <c r="I16" s="128" t="s">
        <v>5</v>
      </c>
      <c r="J16" s="128" t="s">
        <v>6</v>
      </c>
      <c r="K16" s="128" t="s">
        <v>7</v>
      </c>
      <c r="L16" s="128" t="s">
        <v>8</v>
      </c>
      <c r="M16" s="128" t="s">
        <v>9</v>
      </c>
      <c r="N16" s="128" t="s">
        <v>10</v>
      </c>
      <c r="O16" s="128" t="s">
        <v>11</v>
      </c>
      <c r="P16" s="128"/>
      <c r="Q16" s="129" t="s">
        <v>303</v>
      </c>
      <c r="R16" s="128" t="s">
        <v>531</v>
      </c>
      <c r="S16" s="128" t="s">
        <v>532</v>
      </c>
      <c r="T16" s="128" t="s">
        <v>533</v>
      </c>
      <c r="U16" s="128" t="s">
        <v>534</v>
      </c>
      <c r="V16" s="128" t="s">
        <v>535</v>
      </c>
      <c r="W16" s="128" t="s">
        <v>536</v>
      </c>
      <c r="X16" s="128" t="s">
        <v>537</v>
      </c>
      <c r="Y16" s="128" t="s">
        <v>538</v>
      </c>
      <c r="Z16" s="257" t="s">
        <v>542</v>
      </c>
      <c r="AA16" s="198"/>
      <c r="AB16" s="274"/>
      <c r="AC16" s="128" t="s">
        <v>539</v>
      </c>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121"/>
      <c r="FE16" s="121"/>
      <c r="FF16" s="121"/>
      <c r="FG16" s="121"/>
      <c r="FH16" s="121"/>
      <c r="FI16" s="121"/>
      <c r="FJ16" s="121"/>
      <c r="FK16" s="121"/>
      <c r="FL16" s="121"/>
      <c r="FM16" s="121"/>
      <c r="FN16" s="121"/>
      <c r="FO16" s="121"/>
      <c r="FP16" s="121"/>
      <c r="FQ16" s="121"/>
      <c r="FR16" s="121"/>
      <c r="FS16" s="121"/>
      <c r="FT16" s="121"/>
      <c r="FU16" s="121"/>
    </row>
    <row r="17" spans="1:177" s="21" customFormat="1" ht="13" x14ac:dyDescent="0.15">
      <c r="A17" s="121"/>
      <c r="B17" s="498" t="s">
        <v>878</v>
      </c>
      <c r="C17" s="499"/>
      <c r="D17" s="391"/>
      <c r="E17" s="391"/>
      <c r="F17" s="391"/>
      <c r="G17" s="391"/>
      <c r="H17" s="391"/>
      <c r="I17" s="391"/>
      <c r="J17" s="391"/>
      <c r="K17" s="391"/>
      <c r="L17" s="391"/>
      <c r="M17" s="391"/>
      <c r="N17" s="391"/>
      <c r="O17" s="391"/>
      <c r="P17" s="128"/>
      <c r="Q17" s="132">
        <f>SUM(D17:O17)</f>
        <v>0</v>
      </c>
      <c r="R17" s="133">
        <f>VLOOKUP(B10,'Emissions Factors'!$B$32:$J$48,7,FALSE)</f>
        <v>5.3060000000000009</v>
      </c>
      <c r="S17" s="133">
        <f>VLOOKUP(B10,'Emissions Factors'!$B$32:$J$48,8,FALSE)</f>
        <v>1E-4</v>
      </c>
      <c r="T17" s="134">
        <f>'Emissions Factors'!$C$75</f>
        <v>28</v>
      </c>
      <c r="U17" s="135">
        <f>VLOOKUP(B10,'Emissions Factors'!$B$32:$J$48,9,FALSE)</f>
        <v>1.0000000000000001E-5</v>
      </c>
      <c r="V17" s="134">
        <f>'Emissions Factors'!$C$76</f>
        <v>265</v>
      </c>
      <c r="W17" s="136">
        <f>(Q17*R17)/1000</f>
        <v>0</v>
      </c>
      <c r="X17" s="136">
        <f>(Q17*S17)/1000</f>
        <v>0</v>
      </c>
      <c r="Y17" s="136">
        <f>(Q17*U17)/1000</f>
        <v>0</v>
      </c>
      <c r="Z17" s="136">
        <f>-SUM(W17,X17*T17,Y17*V17)</f>
        <v>0</v>
      </c>
      <c r="AA17" s="198"/>
      <c r="AB17" s="274"/>
      <c r="AC17" s="418">
        <f>Z17+Z19</f>
        <v>0</v>
      </c>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1"/>
      <c r="FK17" s="121"/>
      <c r="FL17" s="121"/>
      <c r="FM17" s="121"/>
      <c r="FN17" s="121"/>
      <c r="FO17" s="121"/>
      <c r="FP17" s="121"/>
      <c r="FQ17" s="121"/>
      <c r="FR17" s="121"/>
      <c r="FS17" s="121"/>
      <c r="FT17" s="121"/>
      <c r="FU17" s="121"/>
    </row>
    <row r="18" spans="1:177" s="21" customFormat="1" x14ac:dyDescent="0.15">
      <c r="A18" s="121"/>
      <c r="B18" s="323" t="s">
        <v>648</v>
      </c>
      <c r="C18" s="271"/>
      <c r="D18" s="324"/>
      <c r="E18" s="324"/>
      <c r="F18" s="324"/>
      <c r="G18" s="324"/>
      <c r="H18" s="324"/>
      <c r="I18" s="324"/>
      <c r="J18" s="324"/>
      <c r="K18" s="324"/>
      <c r="L18" s="324"/>
      <c r="M18" s="324"/>
      <c r="N18" s="324"/>
      <c r="O18" s="324"/>
      <c r="P18" s="128"/>
      <c r="Q18" s="128"/>
      <c r="R18" s="128"/>
      <c r="S18" s="128"/>
      <c r="T18" s="128"/>
      <c r="U18" s="128"/>
      <c r="V18" s="128"/>
      <c r="W18" s="128"/>
      <c r="X18" s="128"/>
      <c r="Y18" s="128"/>
      <c r="Z18" s="128"/>
      <c r="AA18" s="128"/>
      <c r="AB18" s="274"/>
      <c r="AC18" s="279"/>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1"/>
      <c r="DV18" s="121"/>
      <c r="DW18" s="121"/>
      <c r="DX18" s="121"/>
      <c r="DY18" s="121"/>
      <c r="DZ18" s="121"/>
      <c r="EA18" s="121"/>
      <c r="EB18" s="121"/>
      <c r="EC18" s="121"/>
      <c r="ED18" s="121"/>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row>
    <row r="19" spans="1:177" s="21" customFormat="1" ht="13" x14ac:dyDescent="0.15">
      <c r="A19" s="121"/>
      <c r="B19" s="498" t="s">
        <v>879</v>
      </c>
      <c r="C19" s="499"/>
      <c r="D19" s="392"/>
      <c r="E19" s="392"/>
      <c r="F19" s="392"/>
      <c r="G19" s="392"/>
      <c r="H19" s="392"/>
      <c r="I19" s="392"/>
      <c r="J19" s="392"/>
      <c r="K19" s="392"/>
      <c r="L19" s="392"/>
      <c r="M19" s="392"/>
      <c r="N19" s="392"/>
      <c r="O19" s="392"/>
      <c r="P19" s="128"/>
      <c r="Q19" s="326">
        <f>(D19*D10)+(E19*E10)+(F19*F10)+(G19*G10)+(H19*H10)+(I19*I10)+(J19*J10)+(K19*K10)+(L19*L10)+(M19*M10)+(N19*N10)+(O19*O10)</f>
        <v>0</v>
      </c>
      <c r="R19" s="325">
        <f>VLOOKUP(B10,'Emissions Factors'!$B$32:$J$48,7,FALSE)</f>
        <v>5.3060000000000009</v>
      </c>
      <c r="S19" s="133">
        <f>VLOOKUP(B10,'Emissions Factors'!$B$32:$J$48,8,FALSE)</f>
        <v>1E-4</v>
      </c>
      <c r="T19" s="134">
        <f>'Emissions Factors'!$C$75</f>
        <v>28</v>
      </c>
      <c r="U19" s="135">
        <f>VLOOKUP(B10,'Emissions Factors'!$B$32:$J$48,9,FALSE)</f>
        <v>1.0000000000000001E-5</v>
      </c>
      <c r="V19" s="134">
        <f>'Emissions Factors'!$C$76</f>
        <v>265</v>
      </c>
      <c r="W19" s="136">
        <f>(Q19*R19)/1000</f>
        <v>0</v>
      </c>
      <c r="X19" s="136">
        <f>(Q19*S19)/1000</f>
        <v>0</v>
      </c>
      <c r="Y19" s="136">
        <f>(Q19*U19)/1000</f>
        <v>0</v>
      </c>
      <c r="Z19" s="136">
        <f>-SUM(W19,X19*T19,Y19*V19)</f>
        <v>0</v>
      </c>
      <c r="AA19" s="198"/>
      <c r="AB19" s="274"/>
      <c r="AC19" s="279"/>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1"/>
      <c r="DV19" s="121"/>
      <c r="DW19" s="121"/>
      <c r="DX19" s="121"/>
      <c r="DY19" s="121"/>
      <c r="DZ19" s="121"/>
      <c r="EA19" s="121"/>
      <c r="EB19" s="121"/>
      <c r="EC19" s="121"/>
      <c r="ED19" s="121"/>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row>
    <row r="20" spans="1:177" s="21" customFormat="1" ht="16" customHeight="1" x14ac:dyDescent="0.15">
      <c r="A20" s="121"/>
      <c r="B20" s="496" t="s">
        <v>457</v>
      </c>
      <c r="C20" s="497"/>
      <c r="D20" s="493"/>
      <c r="E20" s="494"/>
      <c r="F20" s="494"/>
      <c r="G20" s="494"/>
      <c r="H20" s="494"/>
      <c r="I20" s="494"/>
      <c r="J20" s="494"/>
      <c r="K20" s="494"/>
      <c r="L20" s="494"/>
      <c r="M20" s="494"/>
      <c r="N20" s="494"/>
      <c r="O20" s="495"/>
      <c r="P20" s="128"/>
      <c r="Q20" s="274"/>
      <c r="R20" s="274"/>
      <c r="S20" s="274"/>
      <c r="T20" s="274"/>
      <c r="U20" s="274"/>
      <c r="V20" s="274"/>
      <c r="W20" s="274"/>
      <c r="X20" s="274"/>
      <c r="Y20" s="274"/>
      <c r="Z20" s="274"/>
      <c r="AA20" s="198"/>
      <c r="AB20" s="274"/>
      <c r="AC20" s="274"/>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1"/>
      <c r="DV20" s="121"/>
      <c r="DW20" s="121"/>
      <c r="DX20" s="121"/>
      <c r="DY20" s="121"/>
      <c r="DZ20" s="121"/>
      <c r="EA20" s="121"/>
      <c r="EB20" s="121"/>
      <c r="EC20" s="121"/>
      <c r="ED20" s="121"/>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row>
    <row r="21" spans="1:177" s="21" customFormat="1" ht="13" x14ac:dyDescent="0.15">
      <c r="A21" s="121"/>
      <c r="B21" s="121"/>
      <c r="C21" s="140"/>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98"/>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row>
    <row r="22" spans="1:177" s="21" customFormat="1" ht="15" customHeight="1" x14ac:dyDescent="0.15">
      <c r="A22" s="121"/>
      <c r="B22" s="141"/>
      <c r="C22" s="4"/>
      <c r="D22" s="141"/>
      <c r="E22" s="141"/>
      <c r="F22" s="141"/>
      <c r="G22" s="141"/>
      <c r="H22" s="141"/>
      <c r="I22" s="141"/>
      <c r="J22" s="141"/>
      <c r="K22" s="141"/>
      <c r="L22" s="141"/>
      <c r="M22" s="141"/>
      <c r="N22" s="141"/>
      <c r="O22" s="141"/>
      <c r="P22" s="141"/>
      <c r="Q22" s="141"/>
      <c r="R22" s="121"/>
      <c r="S22" s="121"/>
      <c r="T22" s="121"/>
      <c r="U22" s="121"/>
      <c r="V22" s="121"/>
      <c r="W22" s="121"/>
      <c r="X22" s="121"/>
      <c r="Y22" s="141"/>
      <c r="Z22" s="121"/>
      <c r="AA22" s="198"/>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1"/>
      <c r="DV22" s="121"/>
      <c r="DW22" s="121"/>
      <c r="DX22" s="121"/>
      <c r="DY22" s="121"/>
      <c r="DZ22" s="121"/>
      <c r="EA22" s="121"/>
      <c r="EB22" s="121"/>
      <c r="EC22" s="121"/>
      <c r="ED22" s="121"/>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row>
    <row r="23" spans="1:177" ht="18" x14ac:dyDescent="0.2">
      <c r="B23" s="482" t="s">
        <v>432</v>
      </c>
      <c r="C23" s="482"/>
      <c r="D23" s="482"/>
      <c r="E23" s="482"/>
      <c r="F23" s="482"/>
      <c r="G23" s="482"/>
      <c r="H23" s="482"/>
      <c r="I23" s="482"/>
      <c r="J23" s="482"/>
      <c r="K23" s="482"/>
      <c r="L23" s="482"/>
      <c r="M23" s="482"/>
      <c r="N23" s="482"/>
      <c r="O23" s="482"/>
      <c r="P23" s="482"/>
      <c r="Q23" s="2"/>
      <c r="R23" s="121"/>
      <c r="S23" s="121"/>
      <c r="T23" s="2"/>
      <c r="U23" s="2"/>
      <c r="V23" s="2"/>
      <c r="W23" s="2"/>
      <c r="X23" s="2"/>
      <c r="Y23" s="2"/>
      <c r="Z23" s="2"/>
      <c r="AA23" s="2"/>
      <c r="AB23" s="2"/>
    </row>
    <row r="24" spans="1:177" s="199" customFormat="1" ht="20.25" customHeight="1" x14ac:dyDescent="0.2">
      <c r="A24" s="198"/>
      <c r="B24" s="489" t="s">
        <v>805</v>
      </c>
      <c r="C24" s="489"/>
      <c r="D24" s="489"/>
      <c r="E24" s="489"/>
      <c r="F24" s="489"/>
      <c r="G24" s="489"/>
      <c r="H24" s="489"/>
      <c r="I24" s="489"/>
      <c r="J24" s="489"/>
      <c r="K24" s="489"/>
      <c r="L24" s="489"/>
      <c r="M24" s="489"/>
      <c r="N24" s="489"/>
      <c r="O24" s="489"/>
      <c r="P24" s="489"/>
      <c r="Q24" s="489"/>
      <c r="R24" s="486" t="s">
        <v>531</v>
      </c>
      <c r="S24" s="486" t="s">
        <v>532</v>
      </c>
      <c r="T24" s="486" t="s">
        <v>533</v>
      </c>
      <c r="U24" s="486" t="s">
        <v>534</v>
      </c>
      <c r="V24" s="486" t="s">
        <v>535</v>
      </c>
      <c r="W24" s="486" t="s">
        <v>544</v>
      </c>
      <c r="X24" s="486" t="s">
        <v>545</v>
      </c>
      <c r="Y24" s="486" t="s">
        <v>546</v>
      </c>
      <c r="Z24" s="486" t="s">
        <v>540</v>
      </c>
      <c r="AA24" s="486" t="s">
        <v>541</v>
      </c>
      <c r="AB24" s="281"/>
      <c r="AC24" s="182"/>
      <c r="AD24" s="486" t="s">
        <v>547</v>
      </c>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c r="CC24" s="198"/>
      <c r="CD24" s="198"/>
      <c r="CE24" s="198"/>
      <c r="CF24" s="198"/>
      <c r="CG24" s="198"/>
      <c r="CH24" s="198"/>
      <c r="CI24" s="198"/>
      <c r="CJ24" s="198"/>
      <c r="CK24" s="198"/>
      <c r="CL24" s="198"/>
      <c r="CM24" s="198"/>
      <c r="CN24" s="198"/>
      <c r="CO24" s="198"/>
      <c r="CP24" s="198"/>
      <c r="CQ24" s="198"/>
      <c r="CR24" s="198"/>
      <c r="CS24" s="198"/>
      <c r="CT24" s="198"/>
      <c r="CU24" s="198"/>
      <c r="CV24" s="198"/>
      <c r="CW24" s="198"/>
      <c r="CX24" s="198"/>
      <c r="CY24" s="198"/>
      <c r="CZ24" s="198"/>
      <c r="DA24" s="198"/>
      <c r="DB24" s="198"/>
      <c r="DC24" s="198"/>
      <c r="DD24" s="198"/>
      <c r="DE24" s="198"/>
      <c r="DF24" s="198"/>
      <c r="DG24" s="198"/>
      <c r="DH24" s="198"/>
      <c r="DI24" s="198"/>
      <c r="DJ24" s="198"/>
      <c r="DK24" s="198"/>
      <c r="DL24" s="198"/>
      <c r="DM24" s="198"/>
      <c r="DN24" s="198"/>
      <c r="DO24" s="198"/>
      <c r="DP24" s="198"/>
      <c r="DQ24" s="198"/>
      <c r="DR24" s="198"/>
      <c r="DS24" s="198"/>
      <c r="DT24" s="198"/>
      <c r="DU24" s="198"/>
      <c r="DV24" s="198"/>
      <c r="DW24" s="198"/>
      <c r="DX24" s="198"/>
      <c r="DY24" s="198"/>
      <c r="DZ24" s="198"/>
      <c r="EA24" s="198"/>
      <c r="EB24" s="198"/>
      <c r="EC24" s="198"/>
      <c r="ED24" s="198"/>
      <c r="EE24" s="198"/>
      <c r="EF24" s="198"/>
      <c r="EG24" s="198"/>
      <c r="EH24" s="198"/>
      <c r="EI24" s="198"/>
      <c r="EJ24" s="198"/>
      <c r="EK24" s="198"/>
      <c r="EL24" s="198"/>
      <c r="EM24" s="198"/>
      <c r="EN24" s="198"/>
      <c r="EO24" s="198"/>
      <c r="EP24" s="198"/>
      <c r="EQ24" s="198"/>
      <c r="ER24" s="198"/>
      <c r="ES24" s="198"/>
      <c r="ET24" s="198"/>
      <c r="EU24" s="198"/>
      <c r="EV24" s="198"/>
      <c r="EW24" s="198"/>
      <c r="EX24" s="198"/>
      <c r="EY24" s="198"/>
      <c r="EZ24" s="198"/>
      <c r="FA24" s="198"/>
      <c r="FB24" s="198"/>
      <c r="FC24" s="198"/>
      <c r="FD24" s="198"/>
      <c r="FE24" s="198"/>
      <c r="FF24" s="198"/>
      <c r="FG24" s="198"/>
      <c r="FH24" s="198"/>
      <c r="FI24" s="198"/>
      <c r="FJ24" s="198"/>
      <c r="FK24" s="198"/>
      <c r="FL24" s="198"/>
      <c r="FM24" s="198"/>
      <c r="FN24" s="198"/>
      <c r="FO24" s="198"/>
      <c r="FP24" s="198"/>
      <c r="FQ24" s="198"/>
      <c r="FR24" s="198"/>
      <c r="FS24" s="198"/>
      <c r="FT24" s="198"/>
      <c r="FU24" s="198"/>
    </row>
    <row r="25" spans="1:177" s="21" customFormat="1" ht="20.25" customHeight="1" x14ac:dyDescent="0.2">
      <c r="A25" s="121"/>
      <c r="B25" s="181" t="s">
        <v>492</v>
      </c>
      <c r="C25" s="4"/>
      <c r="D25" s="257" t="s">
        <v>0</v>
      </c>
      <c r="E25" s="257" t="s">
        <v>1</v>
      </c>
      <c r="F25" s="257" t="s">
        <v>2</v>
      </c>
      <c r="G25" s="257" t="s">
        <v>3</v>
      </c>
      <c r="H25" s="257" t="s">
        <v>4</v>
      </c>
      <c r="I25" s="257" t="s">
        <v>5</v>
      </c>
      <c r="J25" s="257" t="s">
        <v>6</v>
      </c>
      <c r="K25" s="257" t="s">
        <v>7</v>
      </c>
      <c r="L25" s="257" t="s">
        <v>8</v>
      </c>
      <c r="M25" s="257" t="s">
        <v>9</v>
      </c>
      <c r="N25" s="257" t="s">
        <v>10</v>
      </c>
      <c r="O25" s="257" t="s">
        <v>11</v>
      </c>
      <c r="P25" s="141"/>
      <c r="Q25" s="141" t="s">
        <v>12</v>
      </c>
      <c r="R25" s="486"/>
      <c r="S25" s="486"/>
      <c r="T25" s="486"/>
      <c r="U25" s="486"/>
      <c r="V25" s="486"/>
      <c r="W25" s="486"/>
      <c r="X25" s="486" t="s">
        <v>152</v>
      </c>
      <c r="Y25" s="486" t="s">
        <v>152</v>
      </c>
      <c r="Z25" s="486"/>
      <c r="AA25" s="486"/>
      <c r="AB25" s="257" t="s">
        <v>542</v>
      </c>
      <c r="AC25" s="257" t="s">
        <v>548</v>
      </c>
      <c r="AD25" s="486"/>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row>
    <row r="26" spans="1:177" s="21" customFormat="1" ht="16" customHeight="1" x14ac:dyDescent="0.15">
      <c r="A26" s="121"/>
      <c r="B26" s="121" t="str">
        <f>'Emissions Factors'!B53</f>
        <v>Gasoline/Ethanol (E10)*</v>
      </c>
      <c r="C26" s="140" t="s">
        <v>30</v>
      </c>
      <c r="D26" s="391"/>
      <c r="E26" s="391"/>
      <c r="F26" s="391"/>
      <c r="G26" s="391"/>
      <c r="H26" s="391"/>
      <c r="I26" s="391"/>
      <c r="J26" s="391"/>
      <c r="K26" s="391"/>
      <c r="L26" s="391"/>
      <c r="M26" s="391"/>
      <c r="N26" s="391"/>
      <c r="O26" s="391"/>
      <c r="P26" s="141"/>
      <c r="Q26" s="142">
        <f t="shared" ref="Q26:Q32" si="0">SUM(D26:O26)</f>
        <v>0</v>
      </c>
      <c r="R26" s="143">
        <f>VLOOKUP(B26,'Emissions Factors'!$B$32:$J$56,7,FALSE)</f>
        <v>7.9019999999999992</v>
      </c>
      <c r="S26" s="143">
        <f>VLOOKUP(B26,'Emissions Factors'!$B$32:$J$56,8,FALSE)</f>
        <v>3.4200000000000002E-4</v>
      </c>
      <c r="T26" s="144">
        <f>'Emissions Factors'!$C$75</f>
        <v>28</v>
      </c>
      <c r="U26" s="143">
        <f>VLOOKUP(B26,'Emissions Factors'!$B$32:$J$56,9,FALSE)</f>
        <v>7.2000000000000002E-5</v>
      </c>
      <c r="V26" s="144">
        <f>'Emissions Factors'!$C$76</f>
        <v>265</v>
      </c>
      <c r="W26" s="145">
        <f t="shared" ref="W26:W31" si="1">(Q26*R26)/1000</f>
        <v>0</v>
      </c>
      <c r="X26" s="143">
        <f>VLOOKUP(B26,'Emissions Factors'!$B$32:$L$56,11,FALSE)</f>
        <v>0.57500000000000007</v>
      </c>
      <c r="Y26" s="145">
        <f>Q26*X26/1000</f>
        <v>0</v>
      </c>
      <c r="Z26" s="145">
        <f t="shared" ref="Z26:Z32" si="2">(Q26*S26)/1000</f>
        <v>0</v>
      </c>
      <c r="AA26" s="145">
        <f t="shared" ref="AA26:AA32" si="3">(Q26*U26)/1000</f>
        <v>0</v>
      </c>
      <c r="AB26" s="145">
        <f t="shared" ref="AB26:AB32" si="4">SUM(W26,Z26*T26,AA26*V26)</f>
        <v>0</v>
      </c>
      <c r="AC26" s="418">
        <f t="shared" ref="AC26:AC32" si="5">AB26</f>
        <v>0</v>
      </c>
      <c r="AD26" s="418">
        <f>Y26</f>
        <v>0</v>
      </c>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1"/>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row>
    <row r="27" spans="1:177" s="21" customFormat="1" ht="13" x14ac:dyDescent="0.15">
      <c r="A27" s="121"/>
      <c r="B27" s="121" t="str">
        <f>'Emissions Factors'!B50</f>
        <v>Diesel/Biodiesel (B5)**</v>
      </c>
      <c r="C27" s="140" t="s">
        <v>30</v>
      </c>
      <c r="D27" s="391"/>
      <c r="E27" s="391"/>
      <c r="F27" s="391"/>
      <c r="G27" s="391"/>
      <c r="H27" s="391"/>
      <c r="I27" s="391"/>
      <c r="J27" s="391"/>
      <c r="K27" s="391"/>
      <c r="L27" s="391"/>
      <c r="M27" s="391"/>
      <c r="N27" s="391"/>
      <c r="O27" s="391"/>
      <c r="P27" s="141"/>
      <c r="Q27" s="142">
        <f t="shared" si="0"/>
        <v>0</v>
      </c>
      <c r="R27" s="143">
        <f>VLOOKUP(B27,'Emissions Factors'!$B$32:$J$56,7,FALSE)</f>
        <v>9.6995000000000005</v>
      </c>
      <c r="S27" s="143">
        <f>VLOOKUP(B27,'Emissions Factors'!$B$32:$J$56,8,FALSE)</f>
        <v>3.8949999999999998E-4</v>
      </c>
      <c r="T27" s="144">
        <f>'Emissions Factors'!$C$75</f>
        <v>28</v>
      </c>
      <c r="U27" s="143">
        <f>VLOOKUP(B27,'Emissions Factors'!$B$32:$J$56,9,FALSE)</f>
        <v>7.6000000000000004E-5</v>
      </c>
      <c r="V27" s="144">
        <f>'Emissions Factors'!$C$76</f>
        <v>265</v>
      </c>
      <c r="W27" s="145">
        <f t="shared" si="1"/>
        <v>0</v>
      </c>
      <c r="X27" s="143">
        <f>VLOOKUP(B27,'Emissions Factors'!$B$32:$L$56,11,FALSE)</f>
        <v>0.47249999999999998</v>
      </c>
      <c r="Y27" s="145">
        <f t="shared" ref="Y27:Y32" si="6">Q27*X27/1000</f>
        <v>0</v>
      </c>
      <c r="Z27" s="145">
        <f t="shared" si="2"/>
        <v>0</v>
      </c>
      <c r="AA27" s="145">
        <f t="shared" si="3"/>
        <v>0</v>
      </c>
      <c r="AB27" s="145">
        <f t="shared" si="4"/>
        <v>0</v>
      </c>
      <c r="AC27" s="418">
        <f t="shared" si="5"/>
        <v>0</v>
      </c>
      <c r="AD27" s="418">
        <f>Y27</f>
        <v>0</v>
      </c>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row>
    <row r="28" spans="1:177" s="21" customFormat="1" ht="13" x14ac:dyDescent="0.15">
      <c r="A28" s="121"/>
      <c r="B28" s="121" t="str">
        <f>'Emissions Factors'!B51</f>
        <v>Biodiesel (B20)</v>
      </c>
      <c r="C28" s="140" t="s">
        <v>30</v>
      </c>
      <c r="D28" s="391"/>
      <c r="E28" s="391"/>
      <c r="F28" s="391"/>
      <c r="G28" s="391"/>
      <c r="H28" s="391"/>
      <c r="I28" s="391"/>
      <c r="J28" s="391"/>
      <c r="K28" s="391"/>
      <c r="L28" s="391"/>
      <c r="M28" s="391"/>
      <c r="N28" s="391"/>
      <c r="O28" s="391"/>
      <c r="P28" s="141"/>
      <c r="Q28" s="142">
        <f t="shared" si="0"/>
        <v>0</v>
      </c>
      <c r="R28" s="143">
        <f>VLOOKUP(B28,'Emissions Factors'!$B$32:$J$56,7,FALSE)</f>
        <v>8.168000000000001</v>
      </c>
      <c r="S28" s="143">
        <f>VLOOKUP(B28,'Emissions Factors'!$B$32:$J$56,8,FALSE)</f>
        <v>3.28E-4</v>
      </c>
      <c r="T28" s="144">
        <f>'Emissions Factors'!$C$75</f>
        <v>28</v>
      </c>
      <c r="U28" s="143">
        <f>VLOOKUP(B28,'Emissions Factors'!$B$32:$J$56,9,FALSE)</f>
        <v>6.4000000000000011E-5</v>
      </c>
      <c r="V28" s="144">
        <f>'Emissions Factors'!$C$76</f>
        <v>265</v>
      </c>
      <c r="W28" s="145">
        <f t="shared" si="1"/>
        <v>0</v>
      </c>
      <c r="X28" s="143">
        <f>VLOOKUP(B28,'Emissions Factors'!$B$32:$L$56,11,FALSE)</f>
        <v>1.89</v>
      </c>
      <c r="Y28" s="145">
        <f t="shared" si="6"/>
        <v>0</v>
      </c>
      <c r="Z28" s="145">
        <f t="shared" si="2"/>
        <v>0</v>
      </c>
      <c r="AA28" s="145">
        <f t="shared" si="3"/>
        <v>0</v>
      </c>
      <c r="AB28" s="145">
        <f t="shared" si="4"/>
        <v>0</v>
      </c>
      <c r="AC28" s="418">
        <f t="shared" si="5"/>
        <v>0</v>
      </c>
      <c r="AD28" s="418">
        <f>Y28</f>
        <v>0</v>
      </c>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1"/>
      <c r="DV28" s="121"/>
      <c r="DW28" s="121"/>
      <c r="DX28" s="121"/>
      <c r="DY28" s="121"/>
      <c r="DZ28" s="121"/>
      <c r="EA28" s="121"/>
      <c r="EB28" s="121"/>
      <c r="EC28" s="121"/>
      <c r="ED28" s="121"/>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row>
    <row r="29" spans="1:177" s="21" customFormat="1" ht="13" x14ac:dyDescent="0.15">
      <c r="A29" s="121"/>
      <c r="B29" s="121" t="str">
        <f>'Emissions Factors'!B55</f>
        <v>Renewable Diesel (R99)</v>
      </c>
      <c r="C29" s="140" t="s">
        <v>30</v>
      </c>
      <c r="D29" s="391"/>
      <c r="E29" s="391"/>
      <c r="F29" s="391"/>
      <c r="G29" s="391"/>
      <c r="H29" s="391"/>
      <c r="I29" s="391"/>
      <c r="J29" s="391"/>
      <c r="K29" s="391"/>
      <c r="L29" s="391"/>
      <c r="M29" s="391"/>
      <c r="N29" s="391"/>
      <c r="O29" s="391"/>
      <c r="P29" s="141"/>
      <c r="Q29" s="142">
        <f t="shared" si="0"/>
        <v>0</v>
      </c>
      <c r="R29" s="143">
        <f>VLOOKUP(B29,'Emissions Factors'!$B$32:$J$56,7,FALSE)</f>
        <v>0.10210000000000001</v>
      </c>
      <c r="S29" s="143">
        <f>VLOOKUP(B29,'Emissions Factors'!$B$32:$J$56,8,FALSE)</f>
        <v>4.0999999999999997E-6</v>
      </c>
      <c r="T29" s="144">
        <f>'Emissions Factors'!$C$75</f>
        <v>28</v>
      </c>
      <c r="U29" s="143">
        <f>VLOOKUP(B29,'Emissions Factors'!$B$32:$J$56,9,FALSE)</f>
        <v>8.0000000000000007E-7</v>
      </c>
      <c r="V29" s="144">
        <f>'Emissions Factors'!$C$76</f>
        <v>265</v>
      </c>
      <c r="W29" s="145">
        <f t="shared" si="1"/>
        <v>0</v>
      </c>
      <c r="X29" s="143">
        <f>VLOOKUP(B29,'Emissions Factors'!$B$32:$L$56,11,FALSE)</f>
        <v>5.6924999999999999</v>
      </c>
      <c r="Y29" s="145">
        <f t="shared" si="6"/>
        <v>0</v>
      </c>
      <c r="Z29" s="145">
        <f t="shared" si="2"/>
        <v>0</v>
      </c>
      <c r="AA29" s="145">
        <f t="shared" si="3"/>
        <v>0</v>
      </c>
      <c r="AB29" s="145">
        <f t="shared" si="4"/>
        <v>0</v>
      </c>
      <c r="AC29" s="418">
        <f t="shared" si="5"/>
        <v>0</v>
      </c>
      <c r="AD29" s="418">
        <f>Y29</f>
        <v>0</v>
      </c>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c r="DO29" s="121"/>
      <c r="DP29" s="121"/>
      <c r="DQ29" s="121"/>
      <c r="DR29" s="121"/>
      <c r="DS29" s="121"/>
      <c r="DT29" s="121"/>
      <c r="DU29" s="121"/>
      <c r="DV29" s="121"/>
      <c r="DW29" s="121"/>
      <c r="DX29" s="121"/>
      <c r="DY29" s="121"/>
      <c r="DZ29" s="121"/>
      <c r="EA29" s="121"/>
      <c r="EB29" s="121"/>
      <c r="EC29" s="121"/>
      <c r="ED29" s="121"/>
      <c r="EE29" s="121"/>
      <c r="EF29" s="121"/>
      <c r="EG29" s="121"/>
      <c r="EH29" s="121"/>
      <c r="EI29" s="121"/>
      <c r="EJ29" s="121"/>
      <c r="EK29" s="121"/>
      <c r="EL29" s="121"/>
      <c r="EM29" s="121"/>
      <c r="EN29" s="121"/>
      <c r="EO29" s="121"/>
      <c r="EP29" s="121"/>
      <c r="EQ29" s="121"/>
      <c r="ER29" s="121"/>
      <c r="ES29" s="121"/>
      <c r="ET29" s="121"/>
      <c r="EU29" s="121"/>
      <c r="EV29" s="121"/>
      <c r="EW29" s="121"/>
      <c r="EX29" s="121"/>
      <c r="EY29" s="121"/>
      <c r="EZ29" s="121"/>
      <c r="FA29" s="121"/>
      <c r="FB29" s="121"/>
      <c r="FC29" s="121"/>
      <c r="FD29" s="121"/>
      <c r="FE29" s="121"/>
      <c r="FF29" s="121"/>
      <c r="FG29" s="121"/>
      <c r="FH29" s="121"/>
      <c r="FI29" s="121"/>
      <c r="FJ29" s="121"/>
      <c r="FK29" s="121"/>
      <c r="FL29" s="121"/>
      <c r="FM29" s="121"/>
      <c r="FN29" s="121"/>
      <c r="FO29" s="121"/>
      <c r="FP29" s="121"/>
      <c r="FQ29" s="121"/>
      <c r="FR29" s="121"/>
      <c r="FS29" s="121"/>
      <c r="FT29" s="121"/>
      <c r="FU29" s="121"/>
    </row>
    <row r="30" spans="1:177" s="21" customFormat="1" ht="13" x14ac:dyDescent="0.15">
      <c r="A30" s="121"/>
      <c r="B30" s="121" t="str">
        <f>'Emissions Factors'!B46</f>
        <v>Other Oil</v>
      </c>
      <c r="C30" s="140" t="s">
        <v>30</v>
      </c>
      <c r="D30" s="391"/>
      <c r="E30" s="391"/>
      <c r="F30" s="391"/>
      <c r="G30" s="391"/>
      <c r="H30" s="391"/>
      <c r="I30" s="391"/>
      <c r="J30" s="391"/>
      <c r="K30" s="391"/>
      <c r="L30" s="391"/>
      <c r="M30" s="391"/>
      <c r="N30" s="391"/>
      <c r="O30" s="391"/>
      <c r="P30" s="141"/>
      <c r="Q30" s="142">
        <f t="shared" si="0"/>
        <v>0</v>
      </c>
      <c r="R30" s="143">
        <f>VLOOKUP(B30,'Emissions Factors'!$B$32:$J$56,7,FALSE)</f>
        <v>10.59</v>
      </c>
      <c r="S30" s="143">
        <f>VLOOKUP(B30,'Emissions Factors'!$B$32:$J$56,8,FALSE)</f>
        <v>4.1999999999999996E-4</v>
      </c>
      <c r="T30" s="144">
        <f>'Emissions Factors'!$C$75</f>
        <v>28</v>
      </c>
      <c r="U30" s="143">
        <f>VLOOKUP(B30,'Emissions Factors'!$B$32:$J$56,9,FALSE)</f>
        <v>8.0000000000000007E-5</v>
      </c>
      <c r="V30" s="144">
        <f>'Emissions Factors'!$C$76</f>
        <v>265</v>
      </c>
      <c r="W30" s="145">
        <f t="shared" si="1"/>
        <v>0</v>
      </c>
      <c r="X30" s="143">
        <f>VLOOKUP(B30,'Emissions Factors'!$B$32:$L$56,11,FALSE)</f>
        <v>0</v>
      </c>
      <c r="Y30" s="145">
        <f t="shared" si="6"/>
        <v>0</v>
      </c>
      <c r="Z30" s="145">
        <f t="shared" si="2"/>
        <v>0</v>
      </c>
      <c r="AA30" s="145">
        <f t="shared" si="3"/>
        <v>0</v>
      </c>
      <c r="AB30" s="145">
        <f t="shared" si="4"/>
        <v>0</v>
      </c>
      <c r="AC30" s="418">
        <f t="shared" si="5"/>
        <v>0</v>
      </c>
      <c r="AD30" s="274"/>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c r="DI30" s="121"/>
      <c r="DJ30" s="121"/>
      <c r="DK30" s="121"/>
      <c r="DL30" s="121"/>
      <c r="DM30" s="121"/>
      <c r="DN30" s="121"/>
      <c r="DO30" s="121"/>
      <c r="DP30" s="121"/>
      <c r="DQ30" s="121"/>
      <c r="DR30" s="121"/>
      <c r="DS30" s="121"/>
      <c r="DT30" s="121"/>
      <c r="DU30" s="121"/>
      <c r="DV30" s="121"/>
      <c r="DW30" s="121"/>
      <c r="DX30" s="121"/>
      <c r="DY30" s="121"/>
      <c r="DZ30" s="121"/>
      <c r="EA30" s="121"/>
      <c r="EB30" s="121"/>
      <c r="EC30" s="121"/>
      <c r="ED30" s="121"/>
      <c r="EE30" s="121"/>
      <c r="EF30" s="121"/>
      <c r="EG30" s="121"/>
      <c r="EH30" s="121"/>
      <c r="EI30" s="121"/>
      <c r="EJ30" s="121"/>
      <c r="EK30" s="121"/>
      <c r="EL30" s="121"/>
      <c r="EM30" s="121"/>
      <c r="EN30" s="121"/>
      <c r="EO30" s="121"/>
      <c r="EP30" s="121"/>
      <c r="EQ30" s="121"/>
      <c r="ER30" s="121"/>
      <c r="ES30" s="121"/>
      <c r="ET30" s="121"/>
      <c r="EU30" s="121"/>
      <c r="EV30" s="121"/>
      <c r="EW30" s="121"/>
      <c r="EX30" s="121"/>
      <c r="EY30" s="121"/>
      <c r="EZ30" s="121"/>
      <c r="FA30" s="121"/>
      <c r="FB30" s="121"/>
      <c r="FC30" s="121"/>
      <c r="FD30" s="121"/>
      <c r="FE30" s="121"/>
      <c r="FF30" s="121"/>
      <c r="FG30" s="121"/>
      <c r="FH30" s="121"/>
      <c r="FI30" s="121"/>
      <c r="FJ30" s="121"/>
      <c r="FK30" s="121"/>
      <c r="FL30" s="121"/>
      <c r="FM30" s="121"/>
      <c r="FN30" s="121"/>
      <c r="FO30" s="121"/>
      <c r="FP30" s="121"/>
      <c r="FQ30" s="121"/>
      <c r="FR30" s="121"/>
      <c r="FS30" s="121"/>
      <c r="FT30" s="121"/>
      <c r="FU30" s="121"/>
    </row>
    <row r="31" spans="1:177" s="21" customFormat="1" ht="13" x14ac:dyDescent="0.15">
      <c r="A31" s="121"/>
      <c r="B31" s="121" t="str">
        <f>'Emissions Factors'!B47</f>
        <v>Propane</v>
      </c>
      <c r="C31" s="140" t="s">
        <v>30</v>
      </c>
      <c r="D31" s="391"/>
      <c r="E31" s="391"/>
      <c r="F31" s="391"/>
      <c r="G31" s="391"/>
      <c r="H31" s="391"/>
      <c r="I31" s="391"/>
      <c r="J31" s="391"/>
      <c r="K31" s="391"/>
      <c r="L31" s="391"/>
      <c r="M31" s="391"/>
      <c r="N31" s="391"/>
      <c r="O31" s="391"/>
      <c r="P31" s="141"/>
      <c r="Q31" s="142">
        <f t="shared" si="0"/>
        <v>0</v>
      </c>
      <c r="R31" s="143">
        <f>VLOOKUP(B31,'Emissions Factors'!$B$32:$J$56,7,FALSE)</f>
        <v>5.72</v>
      </c>
      <c r="S31" s="143">
        <f>VLOOKUP(B31,'Emissions Factors'!$B$32:$J$56,8,FALSE)</f>
        <v>2.7E-4</v>
      </c>
      <c r="T31" s="144">
        <f>'Emissions Factors'!$C$75</f>
        <v>28</v>
      </c>
      <c r="U31" s="143">
        <f>VLOOKUP(B31,'Emissions Factors'!$B$32:$J$56,9,FALSE)</f>
        <v>5.0000000000000002E-5</v>
      </c>
      <c r="V31" s="144">
        <f>'Emissions Factors'!$C$76</f>
        <v>265</v>
      </c>
      <c r="W31" s="145">
        <f t="shared" si="1"/>
        <v>0</v>
      </c>
      <c r="X31" s="143">
        <f>VLOOKUP(B31,'Emissions Factors'!$B$32:$L$56,11,FALSE)</f>
        <v>0</v>
      </c>
      <c r="Y31" s="145">
        <f t="shared" si="6"/>
        <v>0</v>
      </c>
      <c r="Z31" s="145">
        <f t="shared" si="2"/>
        <v>0</v>
      </c>
      <c r="AA31" s="145">
        <f t="shared" si="3"/>
        <v>0</v>
      </c>
      <c r="AB31" s="145">
        <f t="shared" si="4"/>
        <v>0</v>
      </c>
      <c r="AC31" s="418">
        <f t="shared" si="5"/>
        <v>0</v>
      </c>
      <c r="AD31" s="274"/>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c r="DP31" s="121"/>
      <c r="DQ31" s="121"/>
      <c r="DR31" s="121"/>
      <c r="DS31" s="121"/>
      <c r="DT31" s="121"/>
      <c r="DU31" s="121"/>
      <c r="DV31" s="121"/>
      <c r="DW31" s="121"/>
      <c r="DX31" s="121"/>
      <c r="DY31" s="121"/>
      <c r="DZ31" s="121"/>
      <c r="EA31" s="121"/>
      <c r="EB31" s="121"/>
      <c r="EC31" s="121"/>
      <c r="ED31" s="121"/>
      <c r="EE31" s="121"/>
      <c r="EF31" s="121"/>
      <c r="EG31" s="121"/>
      <c r="EH31" s="121"/>
      <c r="EI31" s="121"/>
      <c r="EJ31" s="121"/>
      <c r="EK31" s="121"/>
      <c r="EL31" s="121"/>
      <c r="EM31" s="121"/>
      <c r="EN31" s="121"/>
      <c r="EO31" s="121"/>
      <c r="EP31" s="121"/>
      <c r="EQ31" s="121"/>
      <c r="ER31" s="121"/>
      <c r="ES31" s="121"/>
      <c r="ET31" s="121"/>
      <c r="EU31" s="121"/>
      <c r="EV31" s="121"/>
      <c r="EW31" s="121"/>
      <c r="EX31" s="121"/>
      <c r="EY31" s="121"/>
      <c r="EZ31" s="121"/>
      <c r="FA31" s="121"/>
      <c r="FB31" s="121"/>
      <c r="FC31" s="121"/>
      <c r="FD31" s="121"/>
      <c r="FE31" s="121"/>
      <c r="FF31" s="121"/>
      <c r="FG31" s="121"/>
      <c r="FH31" s="121"/>
      <c r="FI31" s="121"/>
      <c r="FJ31" s="121"/>
      <c r="FK31" s="121"/>
      <c r="FL31" s="121"/>
      <c r="FM31" s="121"/>
      <c r="FN31" s="121"/>
      <c r="FO31" s="121"/>
      <c r="FP31" s="121"/>
      <c r="FQ31" s="121"/>
      <c r="FR31" s="121"/>
      <c r="FS31" s="121"/>
      <c r="FT31" s="121"/>
      <c r="FU31" s="121"/>
    </row>
    <row r="32" spans="1:177" s="21" customFormat="1" ht="13" x14ac:dyDescent="0.15">
      <c r="A32" s="121"/>
      <c r="B32" s="121" t="str">
        <f>'Emissions Factors'!B48</f>
        <v>Wood, Wood Waste</v>
      </c>
      <c r="C32" s="140" t="s">
        <v>117</v>
      </c>
      <c r="D32" s="391"/>
      <c r="E32" s="391"/>
      <c r="F32" s="391"/>
      <c r="G32" s="391"/>
      <c r="H32" s="391"/>
      <c r="I32" s="391"/>
      <c r="J32" s="391"/>
      <c r="K32" s="391"/>
      <c r="L32" s="391"/>
      <c r="M32" s="391"/>
      <c r="N32" s="391"/>
      <c r="O32" s="391"/>
      <c r="P32" s="141"/>
      <c r="Q32" s="142">
        <f t="shared" si="0"/>
        <v>0</v>
      </c>
      <c r="R32" s="143">
        <f>VLOOKUP(B32,'Emissions Factors'!$B$32:$L$48,9,FALSE)</f>
        <v>6.3E-2</v>
      </c>
      <c r="S32" s="143">
        <f>VLOOKUP(B32,'Emissions Factors'!$B$32:$J$48,8,FALSE)</f>
        <v>0.126</v>
      </c>
      <c r="T32" s="144">
        <f>'Emissions Factors'!$C$75</f>
        <v>28</v>
      </c>
      <c r="U32" s="143">
        <f>VLOOKUP(B32,'Emissions Factors'!$B$32:$J$48,9,FALSE)</f>
        <v>6.3E-2</v>
      </c>
      <c r="V32" s="144">
        <f>'Emissions Factors'!$C$76</f>
        <v>265</v>
      </c>
      <c r="W32" s="145">
        <f>(Q32*R32)</f>
        <v>0</v>
      </c>
      <c r="X32" s="143">
        <f>VLOOKUP(B32,'Emissions Factors'!$B$32:$L$56,11,FALSE)</f>
        <v>1640</v>
      </c>
      <c r="Y32" s="145">
        <f t="shared" si="6"/>
        <v>0</v>
      </c>
      <c r="Z32" s="145">
        <f t="shared" si="2"/>
        <v>0</v>
      </c>
      <c r="AA32" s="145">
        <f t="shared" si="3"/>
        <v>0</v>
      </c>
      <c r="AB32" s="145">
        <f t="shared" si="4"/>
        <v>0</v>
      </c>
      <c r="AC32" s="418">
        <f t="shared" si="5"/>
        <v>0</v>
      </c>
      <c r="AD32" s="418">
        <f>Y32</f>
        <v>0</v>
      </c>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1"/>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121"/>
      <c r="FD32" s="121"/>
      <c r="FE32" s="121"/>
      <c r="FF32" s="121"/>
      <c r="FG32" s="121"/>
      <c r="FH32" s="121"/>
      <c r="FI32" s="121"/>
      <c r="FJ32" s="121"/>
      <c r="FK32" s="121"/>
      <c r="FL32" s="121"/>
      <c r="FM32" s="121"/>
      <c r="FN32" s="121"/>
      <c r="FO32" s="121"/>
      <c r="FP32" s="121"/>
      <c r="FQ32" s="121"/>
      <c r="FR32" s="121"/>
      <c r="FS32" s="121"/>
      <c r="FT32" s="121"/>
      <c r="FU32" s="121"/>
    </row>
    <row r="33" spans="1:177" s="21" customFormat="1" ht="13" x14ac:dyDescent="0.15">
      <c r="A33" s="121"/>
      <c r="B33" s="121"/>
      <c r="C33" s="140"/>
      <c r="D33" s="146"/>
      <c r="E33" s="146"/>
      <c r="F33" s="146"/>
      <c r="G33" s="146"/>
      <c r="H33" s="146"/>
      <c r="I33" s="146"/>
      <c r="J33" s="146"/>
      <c r="K33" s="146"/>
      <c r="L33" s="146"/>
      <c r="M33" s="146"/>
      <c r="N33" s="146"/>
      <c r="O33" s="146"/>
      <c r="P33" s="141"/>
      <c r="Q33" s="147"/>
      <c r="R33" s="148"/>
      <c r="S33" s="148"/>
      <c r="T33" s="147"/>
      <c r="U33" s="148"/>
      <c r="V33" s="147"/>
      <c r="W33" s="148"/>
      <c r="X33" s="148"/>
      <c r="Y33" s="148"/>
      <c r="Z33" s="148"/>
      <c r="AA33" s="148"/>
      <c r="AB33" s="148"/>
      <c r="AC33" s="279"/>
      <c r="AD33" s="279"/>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c r="DL33" s="121"/>
      <c r="DM33" s="121"/>
      <c r="DN33" s="121"/>
      <c r="DO33" s="121"/>
      <c r="DP33" s="121"/>
      <c r="DQ33" s="121"/>
      <c r="DR33" s="121"/>
      <c r="DS33" s="121"/>
      <c r="DT33" s="121"/>
      <c r="DU33" s="121"/>
      <c r="DV33" s="121"/>
      <c r="DW33" s="121"/>
      <c r="DX33" s="121"/>
      <c r="DY33" s="121"/>
      <c r="DZ33" s="121"/>
      <c r="EA33" s="121"/>
      <c r="EB33" s="121"/>
      <c r="EC33" s="121"/>
      <c r="ED33" s="121"/>
      <c r="EE33" s="121"/>
      <c r="EF33" s="121"/>
      <c r="EG33" s="121"/>
      <c r="EH33" s="121"/>
      <c r="EI33" s="121"/>
      <c r="EJ33" s="121"/>
      <c r="EK33" s="121"/>
      <c r="EL33" s="121"/>
      <c r="EM33" s="121"/>
      <c r="EN33" s="121"/>
      <c r="EO33" s="121"/>
      <c r="EP33" s="121"/>
      <c r="EQ33" s="121"/>
      <c r="ER33" s="121"/>
      <c r="ES33" s="121"/>
      <c r="ET33" s="121"/>
      <c r="EU33" s="121"/>
      <c r="EV33" s="121"/>
      <c r="EW33" s="121"/>
      <c r="EX33" s="121"/>
      <c r="EY33" s="121"/>
      <c r="EZ33" s="121"/>
      <c r="FA33" s="121"/>
      <c r="FB33" s="121"/>
      <c r="FC33" s="121"/>
      <c r="FD33" s="121"/>
      <c r="FE33" s="121"/>
      <c r="FF33" s="121"/>
      <c r="FG33" s="121"/>
      <c r="FH33" s="121"/>
      <c r="FI33" s="121"/>
      <c r="FJ33" s="121"/>
      <c r="FK33" s="121"/>
      <c r="FL33" s="121"/>
      <c r="FM33" s="121"/>
      <c r="FN33" s="121"/>
      <c r="FO33" s="121"/>
      <c r="FP33" s="121"/>
      <c r="FQ33" s="121"/>
      <c r="FR33" s="121"/>
      <c r="FS33" s="121"/>
      <c r="FT33" s="121"/>
      <c r="FU33" s="121"/>
    </row>
    <row r="34" spans="1:177" s="21" customFormat="1" ht="13" x14ac:dyDescent="0.15">
      <c r="A34" s="121"/>
      <c r="B34" s="181" t="s">
        <v>491</v>
      </c>
      <c r="C34" s="140"/>
      <c r="D34" s="149"/>
      <c r="E34" s="149"/>
      <c r="F34" s="149"/>
      <c r="G34" s="149"/>
      <c r="H34" s="149"/>
      <c r="I34" s="149"/>
      <c r="J34" s="149"/>
      <c r="K34" s="149"/>
      <c r="L34" s="149"/>
      <c r="M34" s="149"/>
      <c r="N34" s="149"/>
      <c r="O34" s="149"/>
      <c r="P34" s="141"/>
      <c r="Q34" s="121"/>
      <c r="R34" s="121"/>
      <c r="S34" s="121"/>
      <c r="T34" s="121"/>
      <c r="U34" s="121"/>
      <c r="V34" s="121"/>
      <c r="W34" s="121"/>
      <c r="X34" s="121"/>
      <c r="Y34" s="121"/>
      <c r="Z34" s="121"/>
      <c r="AA34" s="121"/>
      <c r="AB34" s="121"/>
      <c r="AC34" s="279"/>
      <c r="AD34" s="279"/>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121"/>
      <c r="DQ34" s="121"/>
      <c r="DR34" s="121"/>
      <c r="DS34" s="121"/>
      <c r="DT34" s="121"/>
      <c r="DU34" s="121"/>
      <c r="DV34" s="121"/>
      <c r="DW34" s="121"/>
      <c r="DX34" s="121"/>
      <c r="DY34" s="121"/>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row>
    <row r="35" spans="1:177" s="21" customFormat="1" x14ac:dyDescent="0.15">
      <c r="A35" s="121"/>
      <c r="B35" s="458" t="s">
        <v>486</v>
      </c>
      <c r="C35" s="140" t="s">
        <v>30</v>
      </c>
      <c r="D35" s="391"/>
      <c r="E35" s="391"/>
      <c r="F35" s="391"/>
      <c r="G35" s="391"/>
      <c r="H35" s="391"/>
      <c r="I35" s="391"/>
      <c r="J35" s="391"/>
      <c r="K35" s="391"/>
      <c r="L35" s="391"/>
      <c r="M35" s="391"/>
      <c r="N35" s="391"/>
      <c r="O35" s="391"/>
      <c r="P35" s="141"/>
      <c r="Q35" s="142">
        <f>SUM(D35:O35)</f>
        <v>0</v>
      </c>
      <c r="R35" s="143">
        <f>VLOOKUP(B35,'Emissions Factors'!$B$32:$J$56,7,FALSE)</f>
        <v>0</v>
      </c>
      <c r="S35" s="143">
        <f>VLOOKUP(B35,'Emissions Factors'!$B$32:$J$56,8,FALSE)</f>
        <v>0</v>
      </c>
      <c r="T35" s="144">
        <f>'Emissions Factors'!$C$75</f>
        <v>28</v>
      </c>
      <c r="U35" s="143">
        <f>VLOOKUP(B35,'Emissions Factors'!$B$32:$J$56,9,FALSE)</f>
        <v>0</v>
      </c>
      <c r="V35" s="144">
        <f>'Emissions Factors'!$C$76</f>
        <v>265</v>
      </c>
      <c r="W35" s="145">
        <f>(Q35*R35)/1000</f>
        <v>0</v>
      </c>
      <c r="X35" s="143">
        <f>VLOOKUP(B35,'Emissions Factors'!$B$32:$L$56,11,FALSE)</f>
        <v>0</v>
      </c>
      <c r="Y35" s="145">
        <f>Q35*X35/1000</f>
        <v>0</v>
      </c>
      <c r="Z35" s="145">
        <f>(Q35*S35)/1000</f>
        <v>0</v>
      </c>
      <c r="AA35" s="145">
        <f>(Q35*U35)/1000</f>
        <v>0</v>
      </c>
      <c r="AB35" s="145">
        <f>SUM(W35,Z35*T35,AA35*V35)</f>
        <v>0</v>
      </c>
      <c r="AC35" s="418">
        <f>AB35</f>
        <v>0</v>
      </c>
      <c r="AD35" s="418"/>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121"/>
      <c r="DQ35" s="121"/>
      <c r="DR35" s="121"/>
      <c r="DS35" s="121"/>
      <c r="DT35" s="121"/>
      <c r="DU35" s="121"/>
      <c r="DV35" s="121"/>
      <c r="DW35" s="121"/>
      <c r="DX35" s="121"/>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row>
    <row r="36" spans="1:177" s="21" customFormat="1" x14ac:dyDescent="0.15">
      <c r="A36" s="121"/>
      <c r="B36" s="458" t="s">
        <v>486</v>
      </c>
      <c r="C36" s="140" t="s">
        <v>30</v>
      </c>
      <c r="D36" s="391"/>
      <c r="E36" s="391"/>
      <c r="F36" s="391"/>
      <c r="G36" s="391"/>
      <c r="H36" s="391"/>
      <c r="I36" s="391"/>
      <c r="J36" s="391"/>
      <c r="K36" s="391"/>
      <c r="L36" s="391"/>
      <c r="M36" s="391"/>
      <c r="N36" s="391"/>
      <c r="O36" s="391"/>
      <c r="P36" s="141"/>
      <c r="Q36" s="142">
        <f>SUM(D36:O36)</f>
        <v>0</v>
      </c>
      <c r="R36" s="143">
        <f>VLOOKUP(B36,'Emissions Factors'!$B$32:$J$56,7,FALSE)</f>
        <v>0</v>
      </c>
      <c r="S36" s="143">
        <f>VLOOKUP(B36,'Emissions Factors'!$B$32:$J$56,8,FALSE)</f>
        <v>0</v>
      </c>
      <c r="T36" s="144">
        <f>'Emissions Factors'!$C$75</f>
        <v>28</v>
      </c>
      <c r="U36" s="143">
        <f>VLOOKUP(B36,'Emissions Factors'!$B$32:$J$56,9,FALSE)</f>
        <v>0</v>
      </c>
      <c r="V36" s="144">
        <f>'Emissions Factors'!$C$76</f>
        <v>265</v>
      </c>
      <c r="W36" s="145">
        <f>(Q36*R36)/1000</f>
        <v>0</v>
      </c>
      <c r="X36" s="143">
        <f>VLOOKUP(B36,'Emissions Factors'!$B$32:$L$56,11,FALSE)</f>
        <v>0</v>
      </c>
      <c r="Y36" s="145">
        <f>Q36*X36/1000</f>
        <v>0</v>
      </c>
      <c r="Z36" s="145">
        <f>(Q36*S36)/1000</f>
        <v>0</v>
      </c>
      <c r="AA36" s="145">
        <f>(Q36*U36)/1000</f>
        <v>0</v>
      </c>
      <c r="AB36" s="145">
        <f>SUM(W36,Z36*T36,AA36*V36)</f>
        <v>0</v>
      </c>
      <c r="AC36" s="418">
        <f>AB36</f>
        <v>0</v>
      </c>
      <c r="AD36" s="418"/>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21"/>
      <c r="CX36" s="121"/>
      <c r="CY36" s="121"/>
      <c r="CZ36" s="121"/>
      <c r="DA36" s="121"/>
      <c r="DB36" s="121"/>
      <c r="DC36" s="121"/>
      <c r="DD36" s="121"/>
      <c r="DE36" s="121"/>
      <c r="DF36" s="121"/>
      <c r="DG36" s="121"/>
      <c r="DH36" s="121"/>
      <c r="DI36" s="121"/>
      <c r="DJ36" s="121"/>
      <c r="DK36" s="121"/>
      <c r="DL36" s="121"/>
      <c r="DM36" s="121"/>
      <c r="DN36" s="121"/>
      <c r="DO36" s="121"/>
      <c r="DP36" s="121"/>
      <c r="DQ36" s="121"/>
      <c r="DR36" s="121"/>
      <c r="DS36" s="121"/>
      <c r="DT36" s="121"/>
      <c r="DU36" s="121"/>
      <c r="DV36" s="121"/>
      <c r="DW36" s="121"/>
      <c r="DX36" s="121"/>
      <c r="DY36" s="121"/>
      <c r="DZ36" s="121"/>
      <c r="EA36" s="121"/>
      <c r="EB36" s="121"/>
      <c r="EC36" s="121"/>
      <c r="ED36" s="121"/>
      <c r="EE36" s="121"/>
      <c r="EF36" s="121"/>
      <c r="EG36" s="121"/>
      <c r="EH36" s="121"/>
      <c r="EI36" s="121"/>
      <c r="EJ36" s="121"/>
      <c r="EK36" s="121"/>
      <c r="EL36" s="121"/>
      <c r="EM36" s="121"/>
      <c r="EN36" s="121"/>
      <c r="EO36" s="121"/>
      <c r="EP36" s="121"/>
      <c r="EQ36" s="121"/>
      <c r="ER36" s="121"/>
      <c r="ES36" s="121"/>
      <c r="ET36" s="121"/>
      <c r="EU36" s="121"/>
      <c r="EV36" s="121"/>
      <c r="EW36" s="121"/>
      <c r="EX36" s="121"/>
      <c r="EY36" s="121"/>
      <c r="EZ36" s="121"/>
      <c r="FA36" s="121"/>
      <c r="FB36" s="121"/>
      <c r="FC36" s="121"/>
      <c r="FD36" s="121"/>
      <c r="FE36" s="121"/>
      <c r="FF36" s="121"/>
      <c r="FG36" s="121"/>
      <c r="FH36" s="121"/>
      <c r="FI36" s="121"/>
      <c r="FJ36" s="121"/>
      <c r="FK36" s="121"/>
      <c r="FL36" s="121"/>
      <c r="FM36" s="121"/>
      <c r="FN36" s="121"/>
      <c r="FO36" s="121"/>
      <c r="FP36" s="121"/>
      <c r="FQ36" s="121"/>
      <c r="FR36" s="121"/>
      <c r="FS36" s="121"/>
      <c r="FT36" s="121"/>
      <c r="FU36" s="121"/>
    </row>
    <row r="37" spans="1:177" s="21" customFormat="1" x14ac:dyDescent="0.15">
      <c r="A37" s="121"/>
      <c r="B37" s="458" t="s">
        <v>486</v>
      </c>
      <c r="C37" s="140" t="s">
        <v>30</v>
      </c>
      <c r="D37" s="391"/>
      <c r="E37" s="391"/>
      <c r="F37" s="391"/>
      <c r="G37" s="391"/>
      <c r="H37" s="391"/>
      <c r="I37" s="391"/>
      <c r="J37" s="391"/>
      <c r="K37" s="391"/>
      <c r="L37" s="391"/>
      <c r="M37" s="391"/>
      <c r="N37" s="391"/>
      <c r="O37" s="391"/>
      <c r="P37" s="141"/>
      <c r="Q37" s="142">
        <f>SUM(D37:O37)</f>
        <v>0</v>
      </c>
      <c r="R37" s="143">
        <f>VLOOKUP(B37,'Emissions Factors'!$B$32:$J$56,7,FALSE)</f>
        <v>0</v>
      </c>
      <c r="S37" s="143">
        <f>VLOOKUP(B37,'Emissions Factors'!$B$32:$J$56,8,FALSE)</f>
        <v>0</v>
      </c>
      <c r="T37" s="144">
        <f>'Emissions Factors'!$C$75</f>
        <v>28</v>
      </c>
      <c r="U37" s="143">
        <f>VLOOKUP(B37,'Emissions Factors'!$B$32:$J$56,9,FALSE)</f>
        <v>0</v>
      </c>
      <c r="V37" s="144">
        <f>'Emissions Factors'!$C$76</f>
        <v>265</v>
      </c>
      <c r="W37" s="145">
        <f>(Q37*R37)/1000</f>
        <v>0</v>
      </c>
      <c r="X37" s="143">
        <f>VLOOKUP(B37,'Emissions Factors'!$B$32:$L$56,11,FALSE)</f>
        <v>0</v>
      </c>
      <c r="Y37" s="145">
        <f>Q37*X37/1000</f>
        <v>0</v>
      </c>
      <c r="Z37" s="145">
        <f>(Q37*S37)/1000</f>
        <v>0</v>
      </c>
      <c r="AA37" s="145">
        <f>(Q37*U37)/1000</f>
        <v>0</v>
      </c>
      <c r="AB37" s="145">
        <f>SUM(W37,Z37*T37,AA37*V37)</f>
        <v>0</v>
      </c>
      <c r="AC37" s="418">
        <f>AB37</f>
        <v>0</v>
      </c>
      <c r="AD37" s="418"/>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1"/>
      <c r="DI37" s="121"/>
      <c r="DJ37" s="121"/>
      <c r="DK37" s="121"/>
      <c r="DL37" s="121"/>
      <c r="DM37" s="121"/>
      <c r="DN37" s="121"/>
      <c r="DO37" s="121"/>
      <c r="DP37" s="121"/>
      <c r="DQ37" s="121"/>
      <c r="DR37" s="121"/>
      <c r="DS37" s="121"/>
      <c r="DT37" s="121"/>
      <c r="DU37" s="121"/>
      <c r="DV37" s="121"/>
      <c r="DW37" s="121"/>
      <c r="DX37" s="121"/>
      <c r="DY37" s="121"/>
      <c r="DZ37" s="121"/>
      <c r="EA37" s="121"/>
      <c r="EB37" s="121"/>
      <c r="EC37" s="121"/>
      <c r="ED37" s="121"/>
      <c r="EE37" s="121"/>
      <c r="EF37" s="121"/>
      <c r="EG37" s="121"/>
      <c r="EH37" s="121"/>
      <c r="EI37" s="121"/>
      <c r="EJ37" s="121"/>
      <c r="EK37" s="121"/>
      <c r="EL37" s="121"/>
      <c r="EM37" s="121"/>
      <c r="EN37" s="121"/>
      <c r="EO37" s="121"/>
      <c r="EP37" s="121"/>
      <c r="EQ37" s="121"/>
      <c r="ER37" s="121"/>
      <c r="ES37" s="121"/>
      <c r="ET37" s="121"/>
      <c r="EU37" s="121"/>
      <c r="EV37" s="121"/>
      <c r="EW37" s="121"/>
      <c r="EX37" s="121"/>
      <c r="EY37" s="121"/>
      <c r="EZ37" s="121"/>
      <c r="FA37" s="121"/>
      <c r="FB37" s="121"/>
      <c r="FC37" s="121"/>
      <c r="FD37" s="121"/>
      <c r="FE37" s="121"/>
      <c r="FF37" s="121"/>
      <c r="FG37" s="121"/>
      <c r="FH37" s="121"/>
      <c r="FI37" s="121"/>
      <c r="FJ37" s="121"/>
      <c r="FK37" s="121"/>
      <c r="FL37" s="121"/>
      <c r="FM37" s="121"/>
      <c r="FN37" s="121"/>
      <c r="FO37" s="121"/>
      <c r="FP37" s="121"/>
      <c r="FQ37" s="121"/>
      <c r="FR37" s="121"/>
      <c r="FS37" s="121"/>
      <c r="FT37" s="121"/>
      <c r="FU37" s="121"/>
    </row>
    <row r="38" spans="1:177" s="21" customFormat="1" ht="13" x14ac:dyDescent="0.15">
      <c r="A38" s="121"/>
      <c r="B38" s="150"/>
      <c r="C38" s="140"/>
      <c r="D38" s="151"/>
      <c r="E38" s="151"/>
      <c r="F38" s="151"/>
      <c r="G38" s="151"/>
      <c r="H38" s="151"/>
      <c r="I38" s="151"/>
      <c r="J38" s="151"/>
      <c r="K38" s="151"/>
      <c r="L38" s="151"/>
      <c r="M38" s="151"/>
      <c r="N38" s="151"/>
      <c r="O38" s="151"/>
      <c r="P38" s="141"/>
      <c r="Q38" s="121"/>
      <c r="R38" s="121"/>
      <c r="S38" s="121"/>
      <c r="T38" s="121"/>
      <c r="U38" s="121"/>
      <c r="V38" s="121"/>
      <c r="W38" s="121"/>
      <c r="X38" s="121"/>
      <c r="Y38" s="121"/>
      <c r="Z38" s="121"/>
      <c r="AA38" s="121"/>
      <c r="AB38" s="121"/>
      <c r="AC38" s="279"/>
      <c r="AD38" s="279"/>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c r="DO38" s="121"/>
      <c r="DP38" s="121"/>
      <c r="DQ38" s="121"/>
      <c r="DR38" s="121"/>
      <c r="DS38" s="121"/>
      <c r="DT38" s="121"/>
      <c r="DU38" s="121"/>
      <c r="DV38" s="121"/>
      <c r="DW38" s="121"/>
      <c r="DX38" s="121"/>
      <c r="DY38" s="121"/>
      <c r="DZ38" s="121"/>
      <c r="EA38" s="121"/>
      <c r="EB38" s="121"/>
      <c r="EC38" s="121"/>
      <c r="ED38" s="121"/>
      <c r="EE38" s="121"/>
      <c r="EF38" s="121"/>
      <c r="EG38" s="121"/>
      <c r="EH38" s="121"/>
      <c r="EI38" s="121"/>
      <c r="EJ38" s="121"/>
      <c r="EK38" s="121"/>
      <c r="EL38" s="121"/>
      <c r="EM38" s="121"/>
      <c r="EN38" s="121"/>
      <c r="EO38" s="121"/>
      <c r="EP38" s="121"/>
      <c r="EQ38" s="121"/>
      <c r="ER38" s="121"/>
      <c r="ES38" s="121"/>
      <c r="ET38" s="121"/>
      <c r="EU38" s="121"/>
      <c r="EV38" s="121"/>
      <c r="EW38" s="121"/>
      <c r="EX38" s="121"/>
      <c r="EY38" s="121"/>
      <c r="EZ38" s="121"/>
      <c r="FA38" s="121"/>
      <c r="FB38" s="121"/>
      <c r="FC38" s="121"/>
      <c r="FD38" s="121"/>
      <c r="FE38" s="121"/>
      <c r="FF38" s="121"/>
      <c r="FG38" s="121"/>
      <c r="FH38" s="121"/>
      <c r="FI38" s="121"/>
      <c r="FJ38" s="121"/>
      <c r="FK38" s="121"/>
      <c r="FL38" s="121"/>
      <c r="FM38" s="121"/>
      <c r="FN38" s="121"/>
      <c r="FO38" s="121"/>
      <c r="FP38" s="121"/>
      <c r="FQ38" s="121"/>
      <c r="FR38" s="121"/>
      <c r="FS38" s="121"/>
      <c r="FT38" s="121"/>
      <c r="FU38" s="121"/>
    </row>
    <row r="39" spans="1:177" ht="18" x14ac:dyDescent="0.2">
      <c r="B39" s="482" t="s">
        <v>433</v>
      </c>
      <c r="C39" s="482"/>
      <c r="D39" s="482"/>
      <c r="E39" s="482"/>
      <c r="F39" s="482"/>
      <c r="G39" s="482"/>
      <c r="H39" s="482"/>
      <c r="I39" s="482"/>
      <c r="J39" s="482"/>
      <c r="K39" s="482"/>
      <c r="L39" s="482"/>
      <c r="M39" s="482"/>
      <c r="N39" s="482"/>
      <c r="O39" s="482"/>
      <c r="P39" s="482"/>
      <c r="Q39" s="2"/>
      <c r="R39" s="2"/>
      <c r="S39" s="2"/>
      <c r="T39" s="2"/>
      <c r="U39" s="2"/>
      <c r="V39" s="2"/>
      <c r="W39" s="2"/>
      <c r="X39" s="2"/>
      <c r="Y39" s="2"/>
      <c r="Z39" s="2"/>
      <c r="AA39" s="2"/>
      <c r="AB39" s="2"/>
      <c r="AC39" s="137"/>
      <c r="AD39" s="137"/>
    </row>
    <row r="40" spans="1:177" ht="114" customHeight="1" x14ac:dyDescent="0.15">
      <c r="B40" s="483" t="s">
        <v>455</v>
      </c>
      <c r="C40" s="484"/>
      <c r="D40" s="484"/>
      <c r="E40" s="484"/>
      <c r="F40" s="484"/>
      <c r="G40" s="484"/>
      <c r="H40" s="484"/>
      <c r="I40" s="484"/>
      <c r="J40" s="484"/>
      <c r="K40" s="484"/>
      <c r="L40" s="484"/>
      <c r="M40" s="484"/>
      <c r="N40" s="484"/>
      <c r="O40" s="484"/>
      <c r="P40" s="485"/>
      <c r="Q40" s="121"/>
      <c r="R40" s="121"/>
      <c r="S40" s="121"/>
      <c r="T40" s="121"/>
      <c r="U40" s="121"/>
      <c r="V40" s="121"/>
      <c r="W40" s="121"/>
      <c r="X40" s="121"/>
      <c r="Y40" s="121"/>
      <c r="Z40" s="121"/>
      <c r="AA40" s="121"/>
      <c r="AB40" s="121"/>
      <c r="AC40" s="137"/>
      <c r="AD40" s="137"/>
    </row>
    <row r="41" spans="1:177" x14ac:dyDescent="0.15">
      <c r="B41" s="121"/>
      <c r="C41" s="140"/>
      <c r="D41" s="121"/>
      <c r="E41" s="121"/>
      <c r="F41" s="121"/>
      <c r="G41" s="121"/>
      <c r="H41" s="121"/>
      <c r="I41" s="121"/>
      <c r="J41" s="121"/>
      <c r="K41" s="121"/>
      <c r="L41" s="121"/>
      <c r="M41" s="121"/>
      <c r="N41" s="121"/>
      <c r="O41" s="121"/>
      <c r="P41" s="121"/>
      <c r="Q41" s="2"/>
      <c r="R41" s="2"/>
      <c r="S41" s="2"/>
      <c r="T41" s="2"/>
      <c r="U41" s="2"/>
      <c r="V41" s="2"/>
      <c r="W41" s="2"/>
      <c r="X41" s="2"/>
      <c r="Y41" s="2"/>
      <c r="Z41" s="2"/>
      <c r="AA41" s="2"/>
      <c r="AB41" s="2"/>
    </row>
    <row r="42" spans="1:177" s="2" customFormat="1" x14ac:dyDescent="0.15">
      <c r="B42" s="150"/>
      <c r="C42" s="150"/>
      <c r="D42" s="150"/>
      <c r="E42" s="150"/>
      <c r="F42" s="150"/>
      <c r="G42" s="150"/>
      <c r="H42" s="150"/>
      <c r="I42" s="150"/>
      <c r="J42" s="150"/>
      <c r="K42" s="150"/>
      <c r="L42" s="150"/>
      <c r="M42" s="150"/>
      <c r="N42" s="150"/>
      <c r="O42" s="150"/>
      <c r="P42" s="150"/>
      <c r="Q42" s="121"/>
      <c r="R42" s="121"/>
      <c r="S42" s="121"/>
      <c r="T42" s="121"/>
      <c r="U42" s="121"/>
      <c r="V42" s="121"/>
      <c r="W42" s="121"/>
      <c r="X42" s="121"/>
      <c r="Y42" s="121"/>
      <c r="Z42" s="121"/>
      <c r="AA42" s="121"/>
      <c r="AB42" s="121"/>
    </row>
    <row r="43" spans="1:177" s="2" customFormat="1" x14ac:dyDescent="0.15">
      <c r="B43" s="150"/>
      <c r="C43" s="150"/>
      <c r="D43" s="150"/>
      <c r="E43" s="150"/>
      <c r="F43" s="150"/>
      <c r="G43" s="150"/>
      <c r="H43" s="150"/>
      <c r="I43" s="150"/>
      <c r="J43" s="150"/>
      <c r="K43" s="150"/>
      <c r="L43" s="150"/>
      <c r="M43" s="150"/>
      <c r="N43" s="150"/>
      <c r="O43" s="150"/>
      <c r="P43" s="150"/>
    </row>
    <row r="44" spans="1:177" s="2" customFormat="1" x14ac:dyDescent="0.15">
      <c r="C44" s="10"/>
    </row>
    <row r="45" spans="1:177" s="2" customFormat="1" x14ac:dyDescent="0.15">
      <c r="C45" s="10"/>
    </row>
    <row r="46" spans="1:177" s="2" customFormat="1" x14ac:dyDescent="0.15">
      <c r="C46" s="10"/>
    </row>
    <row r="47" spans="1:177" s="2" customFormat="1" x14ac:dyDescent="0.15">
      <c r="C47" s="10"/>
    </row>
    <row r="48" spans="1:177" s="2" customFormat="1" x14ac:dyDescent="0.15">
      <c r="C48" s="10"/>
    </row>
    <row r="49" spans="3:3" s="2" customFormat="1" x14ac:dyDescent="0.15">
      <c r="C49" s="10"/>
    </row>
    <row r="50" spans="3:3" s="2" customFormat="1" x14ac:dyDescent="0.15">
      <c r="C50" s="10"/>
    </row>
    <row r="51" spans="3:3" s="2" customFormat="1" x14ac:dyDescent="0.15">
      <c r="C51" s="10"/>
    </row>
    <row r="52" spans="3:3" s="2" customFormat="1" x14ac:dyDescent="0.15">
      <c r="C52" s="10"/>
    </row>
    <row r="53" spans="3:3" s="2" customFormat="1" x14ac:dyDescent="0.15">
      <c r="C53" s="10"/>
    </row>
    <row r="54" spans="3:3" s="2" customFormat="1" x14ac:dyDescent="0.15">
      <c r="C54" s="10"/>
    </row>
    <row r="55" spans="3:3" s="2" customFormat="1" x14ac:dyDescent="0.15">
      <c r="C55" s="10"/>
    </row>
    <row r="56" spans="3:3" s="2" customFormat="1" x14ac:dyDescent="0.15">
      <c r="C56" s="10"/>
    </row>
    <row r="57" spans="3:3" s="2" customFormat="1" x14ac:dyDescent="0.15">
      <c r="C57" s="10"/>
    </row>
    <row r="58" spans="3:3" s="2" customFormat="1" x14ac:dyDescent="0.15">
      <c r="C58" s="10"/>
    </row>
    <row r="59" spans="3:3" s="2" customFormat="1" x14ac:dyDescent="0.15">
      <c r="C59" s="10"/>
    </row>
    <row r="60" spans="3:3" s="2" customFormat="1" x14ac:dyDescent="0.15">
      <c r="C60" s="10"/>
    </row>
    <row r="61" spans="3:3" s="2" customFormat="1" x14ac:dyDescent="0.15">
      <c r="C61" s="10"/>
    </row>
    <row r="62" spans="3:3" s="2" customFormat="1" x14ac:dyDescent="0.15">
      <c r="C62" s="10"/>
    </row>
    <row r="63" spans="3:3" s="2" customFormat="1" x14ac:dyDescent="0.15">
      <c r="C63" s="10"/>
    </row>
    <row r="64" spans="3:3" s="2" customFormat="1" x14ac:dyDescent="0.15">
      <c r="C64" s="10"/>
    </row>
    <row r="65" spans="3:3" s="2" customFormat="1" x14ac:dyDescent="0.15">
      <c r="C65" s="10"/>
    </row>
    <row r="66" spans="3:3" s="2" customFormat="1" x14ac:dyDescent="0.15">
      <c r="C66" s="10"/>
    </row>
    <row r="67" spans="3:3" s="2" customFormat="1" x14ac:dyDescent="0.15">
      <c r="C67" s="10"/>
    </row>
    <row r="68" spans="3:3" s="2" customFormat="1" x14ac:dyDescent="0.15">
      <c r="C68" s="10"/>
    </row>
    <row r="69" spans="3:3" s="2" customFormat="1" x14ac:dyDescent="0.15">
      <c r="C69" s="10"/>
    </row>
    <row r="70" spans="3:3" s="2" customFormat="1" x14ac:dyDescent="0.15">
      <c r="C70" s="10"/>
    </row>
    <row r="71" spans="3:3" s="2" customFormat="1" x14ac:dyDescent="0.15">
      <c r="C71" s="10"/>
    </row>
    <row r="72" spans="3:3" s="2" customFormat="1" x14ac:dyDescent="0.15">
      <c r="C72" s="10"/>
    </row>
    <row r="73" spans="3:3" s="2" customFormat="1" x14ac:dyDescent="0.15">
      <c r="C73" s="10"/>
    </row>
    <row r="74" spans="3:3" s="2" customFormat="1" x14ac:dyDescent="0.15">
      <c r="C74" s="10"/>
    </row>
    <row r="75" spans="3:3" s="2" customFormat="1" x14ac:dyDescent="0.15">
      <c r="C75" s="10"/>
    </row>
    <row r="76" spans="3:3" s="2" customFormat="1" x14ac:dyDescent="0.15">
      <c r="C76" s="10"/>
    </row>
    <row r="77" spans="3:3" s="2" customFormat="1" x14ac:dyDescent="0.15">
      <c r="C77" s="10"/>
    </row>
    <row r="78" spans="3:3" s="2" customFormat="1" x14ac:dyDescent="0.15">
      <c r="C78" s="10"/>
    </row>
    <row r="79" spans="3:3" s="2" customFormat="1" x14ac:dyDescent="0.15">
      <c r="C79" s="10"/>
    </row>
    <row r="80" spans="3:3" s="2" customFormat="1" x14ac:dyDescent="0.15">
      <c r="C80" s="10"/>
    </row>
    <row r="81" spans="3:3" s="2" customFormat="1" x14ac:dyDescent="0.15">
      <c r="C81" s="10"/>
    </row>
    <row r="82" spans="3:3" s="2" customFormat="1" x14ac:dyDescent="0.15">
      <c r="C82" s="10"/>
    </row>
  </sheetData>
  <sheetProtection algorithmName="SHA-512" hashValue="anSS9Q922MqtWejn4wpAV9CxUKM64BjyQ0xZUfS2jBcMTJ34kiDVT47a1mXfCzp3yV/OP7Z/7GumSWraDAQhvw==" saltValue="tVNOW6OyoxJZe5AgSG6w5w==" spinCount="100000" sheet="1" objects="1" scenarios="1"/>
  <mergeCells count="26">
    <mergeCell ref="B4:D4"/>
    <mergeCell ref="B6:Q6"/>
    <mergeCell ref="B24:Q24"/>
    <mergeCell ref="B3:D3"/>
    <mergeCell ref="B14:Q14"/>
    <mergeCell ref="B11:C11"/>
    <mergeCell ref="D11:O11"/>
    <mergeCell ref="B20:C20"/>
    <mergeCell ref="D20:O20"/>
    <mergeCell ref="B17:C17"/>
    <mergeCell ref="B8:Q8"/>
    <mergeCell ref="B19:C19"/>
    <mergeCell ref="B39:P39"/>
    <mergeCell ref="B40:P40"/>
    <mergeCell ref="B23:P23"/>
    <mergeCell ref="AD24:AD25"/>
    <mergeCell ref="AA24:AA25"/>
    <mergeCell ref="Z24:Z25"/>
    <mergeCell ref="W24:W25"/>
    <mergeCell ref="V24:V25"/>
    <mergeCell ref="U24:U25"/>
    <mergeCell ref="T24:T25"/>
    <mergeCell ref="Y24:Y25"/>
    <mergeCell ref="S24:S25"/>
    <mergeCell ref="R24:R25"/>
    <mergeCell ref="X24:X25"/>
  </mergeCells>
  <phoneticPr fontId="10" type="noConversion"/>
  <pageMargins left="0.7" right="0.7" top="0.75" bottom="0.75" header="0.3" footer="0.3"/>
  <headerFooter>
    <oddFooter>&amp;R&amp;"-,Bold"&amp;K01+018LIVE Winery Program Greenhouse Gas Emissions Report&amp;"-,Regular"  |  LIVE-XWX-12031401-A0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'Emissions Factors'!$N$31:$N$41</xm:f>
          </x14:formula1>
          <xm:sqref>B35:B37</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5"/>
    <pageSetUpPr fitToPage="1"/>
  </sheetPr>
  <dimension ref="A1:DD99"/>
  <sheetViews>
    <sheetView zoomScale="106" zoomScaleNormal="100" zoomScalePageLayoutView="170" workbookViewId="0">
      <selection activeCell="C16" sqref="C16"/>
    </sheetView>
  </sheetViews>
  <sheetFormatPr baseColWidth="10" defaultColWidth="9.1640625" defaultRowHeight="14" outlineLevelCol="1" x14ac:dyDescent="0.15"/>
  <cols>
    <col min="1" max="1" width="3.1640625" style="2" customWidth="1"/>
    <col min="2" max="2" width="34.6640625" style="2" customWidth="1"/>
    <col min="3" max="3" width="9.5" style="2" customWidth="1"/>
    <col min="4" max="4" width="28.5" style="10" customWidth="1"/>
    <col min="5" max="5" width="6.33203125" style="2" customWidth="1"/>
    <col min="6" max="6" width="10.5" style="2" customWidth="1"/>
    <col min="7" max="7" width="4" style="2" customWidth="1"/>
    <col min="8" max="9" width="17.5" style="2" customWidth="1"/>
    <col min="10" max="10" width="32" style="2" hidden="1" customWidth="1" outlineLevel="1"/>
    <col min="11" max="13" width="9.1640625" style="2" hidden="1" customWidth="1" outlineLevel="1"/>
    <col min="14" max="14" width="9.83203125" style="2" hidden="1" customWidth="1" outlineLevel="1"/>
    <col min="15" max="15" width="9.1640625" style="2" hidden="1" customWidth="1" outlineLevel="1"/>
    <col min="16" max="16" width="12.1640625" style="2" hidden="1" customWidth="1" outlineLevel="1"/>
    <col min="17" max="18" width="9.1640625" style="2" hidden="1" customWidth="1" outlineLevel="1"/>
    <col min="19" max="19" width="14.1640625" style="2" hidden="1" customWidth="1" outlineLevel="1"/>
    <col min="20" max="21" width="9.1640625" style="2" hidden="1" customWidth="1" outlineLevel="1"/>
    <col min="22" max="22" width="9.1640625" style="2" collapsed="1"/>
    <col min="23" max="108" width="9.1640625" style="2"/>
    <col min="109" max="16384" width="9.1640625" style="107"/>
  </cols>
  <sheetData>
    <row r="1" spans="1:108" ht="25.5" customHeight="1" x14ac:dyDescent="0.25">
      <c r="A1" s="114"/>
      <c r="B1" s="122" t="s">
        <v>773</v>
      </c>
      <c r="C1" s="122"/>
      <c r="E1" s="107"/>
      <c r="H1" s="115"/>
      <c r="I1" s="115"/>
      <c r="V1" s="2" t="s">
        <v>892</v>
      </c>
    </row>
    <row r="2" spans="1:108" s="127" customFormat="1" ht="25" customHeight="1" x14ac:dyDescent="0.15">
      <c r="A2" s="124"/>
      <c r="B2" s="433" t="s">
        <v>626</v>
      </c>
      <c r="C2" s="125">
        <f>SUM(N16:N28,N38:N55,O63:O81)</f>
        <v>0</v>
      </c>
      <c r="D2" s="126" t="s">
        <v>497</v>
      </c>
      <c r="E2" s="124"/>
      <c r="F2" s="2"/>
      <c r="G2" s="2"/>
      <c r="H2" s="115"/>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row>
    <row r="3" spans="1:108" ht="23" x14ac:dyDescent="0.25">
      <c r="A3" s="114"/>
      <c r="B3" s="119" t="s">
        <v>198</v>
      </c>
      <c r="C3" s="119"/>
      <c r="E3" s="10"/>
    </row>
    <row r="4" spans="1:108" ht="248" customHeight="1" x14ac:dyDescent="0.15">
      <c r="B4" s="509" t="s">
        <v>809</v>
      </c>
      <c r="C4" s="509"/>
      <c r="D4" s="509"/>
      <c r="E4" s="509"/>
      <c r="F4" s="509"/>
      <c r="G4" s="509"/>
      <c r="H4" s="509"/>
      <c r="I4" s="509"/>
    </row>
    <row r="5" spans="1:108" ht="18" x14ac:dyDescent="0.2">
      <c r="B5" s="411" t="s">
        <v>807</v>
      </c>
      <c r="C5" s="411"/>
      <c r="D5" s="364"/>
      <c r="E5" s="364"/>
      <c r="F5" s="364"/>
      <c r="G5" s="7"/>
    </row>
    <row r="6" spans="1:108" ht="18" x14ac:dyDescent="0.2">
      <c r="B6" s="406" t="s">
        <v>772</v>
      </c>
      <c r="C6" s="406"/>
      <c r="D6" s="364"/>
      <c r="E6" s="364"/>
      <c r="F6" s="364"/>
      <c r="G6" s="7"/>
    </row>
    <row r="7" spans="1:108" ht="13" customHeight="1" x14ac:dyDescent="0.2">
      <c r="B7" s="195" t="s">
        <v>706</v>
      </c>
      <c r="C7" s="195"/>
      <c r="D7" s="365"/>
      <c r="E7" s="365"/>
      <c r="F7" s="405"/>
      <c r="G7" s="7"/>
    </row>
    <row r="8" spans="1:108" ht="13" customHeight="1" x14ac:dyDescent="0.2">
      <c r="B8" s="195" t="s">
        <v>705</v>
      </c>
      <c r="C8" s="195"/>
      <c r="D8" s="365"/>
      <c r="E8" s="365"/>
      <c r="F8" s="405"/>
      <c r="G8" s="7"/>
    </row>
    <row r="9" spans="1:108" ht="13" customHeight="1" x14ac:dyDescent="0.2">
      <c r="B9" s="195" t="s">
        <v>734</v>
      </c>
      <c r="C9" s="195"/>
      <c r="D9" s="365"/>
      <c r="E9" s="365"/>
      <c r="F9" s="405"/>
      <c r="G9" s="7"/>
    </row>
    <row r="10" spans="1:108" ht="13" customHeight="1" x14ac:dyDescent="0.2">
      <c r="B10" s="195" t="s">
        <v>735</v>
      </c>
      <c r="C10" s="195"/>
      <c r="D10" s="365"/>
      <c r="E10" s="365"/>
      <c r="F10" s="446" t="str">
        <f>IF(F8&gt;0,F9*(F7/F8),"Enter data above")</f>
        <v>Enter data above</v>
      </c>
      <c r="G10" s="7"/>
      <c r="T10" s="14" t="s">
        <v>369</v>
      </c>
    </row>
    <row r="11" spans="1:108" ht="13" customHeight="1" x14ac:dyDescent="0.2">
      <c r="B11" s="121" t="s">
        <v>736</v>
      </c>
      <c r="C11" s="121"/>
      <c r="D11" s="141"/>
      <c r="E11" s="121"/>
      <c r="F11" s="141"/>
      <c r="G11" s="7"/>
      <c r="T11" s="128" t="s">
        <v>694</v>
      </c>
    </row>
    <row r="12" spans="1:108" ht="13" customHeight="1" x14ac:dyDescent="0.2">
      <c r="B12" s="259"/>
      <c r="C12" s="259"/>
      <c r="D12" s="153"/>
      <c r="E12" s="152"/>
      <c r="F12" s="154"/>
      <c r="G12" s="7"/>
    </row>
    <row r="13" spans="1:108" ht="18" x14ac:dyDescent="0.2">
      <c r="B13" s="490" t="s">
        <v>430</v>
      </c>
      <c r="C13" s="490"/>
      <c r="D13" s="490"/>
      <c r="E13" s="490"/>
      <c r="F13" s="490"/>
      <c r="G13" s="490"/>
      <c r="H13" s="490"/>
      <c r="I13" s="253"/>
      <c r="T13" s="145">
        <f>SUM(T16:T28)+SUM(T38:T55)+SUM(T63:T81)</f>
        <v>0</v>
      </c>
    </row>
    <row r="14" spans="1:108" ht="25" customHeight="1" x14ac:dyDescent="0.2">
      <c r="B14" s="351" t="s">
        <v>808</v>
      </c>
      <c r="C14" s="351"/>
      <c r="L14" s="128"/>
      <c r="N14" s="128"/>
      <c r="O14" s="128"/>
      <c r="T14" s="128"/>
    </row>
    <row r="15" spans="1:108" s="21" customFormat="1" ht="32" x14ac:dyDescent="0.2">
      <c r="A15" s="2"/>
      <c r="B15" s="140"/>
      <c r="C15" s="128" t="s">
        <v>693</v>
      </c>
      <c r="D15" s="121"/>
      <c r="E15" s="121"/>
      <c r="F15" s="121"/>
      <c r="G15" s="121"/>
      <c r="H15" s="121"/>
      <c r="I15" s="121"/>
      <c r="J15" s="121"/>
      <c r="K15" s="121"/>
      <c r="L15" s="141" t="s">
        <v>12</v>
      </c>
      <c r="M15" s="128" t="s">
        <v>549</v>
      </c>
      <c r="N15" s="128" t="s">
        <v>551</v>
      </c>
      <c r="O15" s="128" t="s">
        <v>713</v>
      </c>
      <c r="P15" s="128" t="s">
        <v>714</v>
      </c>
      <c r="Q15" s="128" t="s">
        <v>715</v>
      </c>
      <c r="R15" s="128" t="s">
        <v>716</v>
      </c>
      <c r="S15" s="128" t="s">
        <v>550</v>
      </c>
      <c r="T15" s="128" t="s">
        <v>694</v>
      </c>
      <c r="U15" s="121"/>
      <c r="V15" s="128" t="s">
        <v>551</v>
      </c>
      <c r="W15" s="128" t="s">
        <v>552</v>
      </c>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row>
    <row r="16" spans="1:108" s="21" customFormat="1" ht="13" x14ac:dyDescent="0.15">
      <c r="A16" s="121"/>
      <c r="B16" s="156" t="s">
        <v>320</v>
      </c>
      <c r="C16" s="393"/>
      <c r="D16" s="140" t="s">
        <v>30</v>
      </c>
      <c r="E16" s="121"/>
      <c r="F16" s="121"/>
      <c r="G16" s="121"/>
      <c r="H16" s="121"/>
      <c r="I16" s="121"/>
      <c r="J16" s="121"/>
      <c r="K16" s="121"/>
      <c r="L16" s="142">
        <f t="shared" ref="L16:L28" si="0">C16</f>
        <v>0</v>
      </c>
      <c r="M16" s="143">
        <f>VLOOKUP(B16,'Emissions Factors'!$B$32:$J$55,7, FALSE)</f>
        <v>7.9019999999999992</v>
      </c>
      <c r="N16" s="145">
        <f>L16*M16/1000</f>
        <v>0</v>
      </c>
      <c r="O16" s="143">
        <f>VLOOKUP(B16,'Emissions Factors'!$B$32:$J$55,8, FALSE)</f>
        <v>3.4200000000000002E-4</v>
      </c>
      <c r="P16" s="145">
        <f>L16*O16*'Emissions Factors'!$C$75/1000</f>
        <v>0</v>
      </c>
      <c r="Q16" s="143">
        <f>VLOOKUP(B16,'Emissions Factors'!$B$32:$J$55,9, FALSE)</f>
        <v>7.2000000000000002E-5</v>
      </c>
      <c r="R16" s="145">
        <f>L16*Q16*'Emissions Factors'!$C$76/1000</f>
        <v>0</v>
      </c>
      <c r="S16" s="143">
        <f>VLOOKUP(B16,'Emissions Factors'!$B$32:$L$55,11,FALSE)</f>
        <v>0.57500000000000007</v>
      </c>
      <c r="T16" s="145">
        <f>L16*S16/1000</f>
        <v>0</v>
      </c>
      <c r="U16" s="121"/>
      <c r="V16" s="418">
        <f>N16</f>
        <v>0</v>
      </c>
      <c r="W16" s="418">
        <f>T16</f>
        <v>0</v>
      </c>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row>
    <row r="17" spans="1:108" s="21" customFormat="1" ht="13" x14ac:dyDescent="0.15">
      <c r="A17" s="121"/>
      <c r="B17" s="121" t="s">
        <v>322</v>
      </c>
      <c r="C17" s="393"/>
      <c r="D17" s="140" t="s">
        <v>30</v>
      </c>
      <c r="E17" s="121"/>
      <c r="F17" s="121"/>
      <c r="G17" s="121"/>
      <c r="H17" s="121"/>
      <c r="I17" s="121"/>
      <c r="J17" s="121"/>
      <c r="K17" s="121"/>
      <c r="L17" s="142">
        <f t="shared" si="0"/>
        <v>0</v>
      </c>
      <c r="M17" s="143">
        <f>VLOOKUP(B17,'Emissions Factors'!$B$32:$J$55,7, FALSE)</f>
        <v>8.7799999999999994</v>
      </c>
      <c r="N17" s="145">
        <f>L17*M17/1000</f>
        <v>0</v>
      </c>
      <c r="O17" s="143">
        <f>VLOOKUP(B17,'Emissions Factors'!$B$32:$J$55,8, FALSE)</f>
        <v>3.8000000000000002E-4</v>
      </c>
      <c r="P17" s="145">
        <f>L17*O17*'Emissions Factors'!$C$75/1000</f>
        <v>0</v>
      </c>
      <c r="Q17" s="143">
        <f>VLOOKUP(B17,'Emissions Factors'!$B$32:$J$55,9, FALSE)</f>
        <v>8.0000000000000007E-5</v>
      </c>
      <c r="R17" s="145">
        <f>L17*Q17*'Emissions Factors'!$C$76/1000</f>
        <v>0</v>
      </c>
      <c r="S17" s="128"/>
      <c r="T17" s="128"/>
      <c r="U17" s="121"/>
      <c r="V17" s="418">
        <f>N17</f>
        <v>0</v>
      </c>
      <c r="W17" s="418"/>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row>
    <row r="18" spans="1:108" s="21" customFormat="1" ht="13" x14ac:dyDescent="0.15">
      <c r="A18" s="121"/>
      <c r="B18" s="156" t="s">
        <v>585</v>
      </c>
      <c r="C18" s="393"/>
      <c r="D18" s="140" t="s">
        <v>30</v>
      </c>
      <c r="E18" s="121"/>
      <c r="F18" s="121"/>
      <c r="G18" s="121"/>
      <c r="H18" s="121"/>
      <c r="I18" s="121"/>
      <c r="J18" s="121"/>
      <c r="K18" s="121"/>
      <c r="L18" s="142">
        <f t="shared" si="0"/>
        <v>0</v>
      </c>
      <c r="M18" s="143">
        <f>VLOOKUP(B18,'Emissions Factors'!$B$32:$J$55,7, FALSE)</f>
        <v>0.10210000000000001</v>
      </c>
      <c r="N18" s="145">
        <f>L18*M18/1000</f>
        <v>0</v>
      </c>
      <c r="O18" s="143">
        <f>VLOOKUP(B18,'Emissions Factors'!$B$32:$J$55,8, FALSE)</f>
        <v>4.0999999999999997E-6</v>
      </c>
      <c r="P18" s="145">
        <f>L18*O18*'Emissions Factors'!$C$75/1000</f>
        <v>0</v>
      </c>
      <c r="Q18" s="143">
        <f>VLOOKUP(B18,'Emissions Factors'!$B$32:$J$55,9, FALSE)</f>
        <v>8.0000000000000007E-7</v>
      </c>
      <c r="R18" s="145">
        <f>L18*Q18*'Emissions Factors'!$C$76/1000</f>
        <v>0</v>
      </c>
      <c r="S18" s="143">
        <f>VLOOKUP(B18,'Emissions Factors'!$B$32:$L$55,11,FALSE)</f>
        <v>5.6924999999999999</v>
      </c>
      <c r="T18" s="145">
        <f>L18*S18/1000</f>
        <v>0</v>
      </c>
      <c r="U18" s="121"/>
      <c r="V18" s="418">
        <f>N18</f>
        <v>0</v>
      </c>
      <c r="W18" s="418">
        <f>T18</f>
        <v>0</v>
      </c>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row>
    <row r="19" spans="1:108" s="21" customFormat="1" ht="13" x14ac:dyDescent="0.15">
      <c r="A19" s="121"/>
      <c r="B19" s="156" t="s">
        <v>321</v>
      </c>
      <c r="C19" s="393"/>
      <c r="D19" s="140" t="s">
        <v>30</v>
      </c>
      <c r="E19" s="121"/>
      <c r="F19" s="121"/>
      <c r="G19" s="121"/>
      <c r="H19" s="121"/>
      <c r="I19" s="121"/>
      <c r="J19" s="121"/>
      <c r="K19" s="121"/>
      <c r="L19" s="142">
        <f t="shared" si="0"/>
        <v>0</v>
      </c>
      <c r="M19" s="143">
        <f>VLOOKUP(B19,'Emissions Factors'!$B$32:$J$55,7, FALSE)</f>
        <v>9.6995000000000005</v>
      </c>
      <c r="N19" s="145">
        <f>L19*M19/1000</f>
        <v>0</v>
      </c>
      <c r="O19" s="143">
        <f>VLOOKUP(B19,'Emissions Factors'!$B$32:$J$55,8, FALSE)</f>
        <v>3.8949999999999998E-4</v>
      </c>
      <c r="P19" s="145">
        <f>L19*O19*'Emissions Factors'!$C$75/1000</f>
        <v>0</v>
      </c>
      <c r="Q19" s="143">
        <f>VLOOKUP(B19,'Emissions Factors'!$B$32:$J$55,9, FALSE)</f>
        <v>7.6000000000000004E-5</v>
      </c>
      <c r="R19" s="145">
        <f>L19*Q19*'Emissions Factors'!$C$76/1000</f>
        <v>0</v>
      </c>
      <c r="S19" s="143">
        <f>VLOOKUP(B19,'Emissions Factors'!$B$32:$L$55,11,FALSE)</f>
        <v>0.47249999999999998</v>
      </c>
      <c r="T19" s="145">
        <f>L19*S19/1000</f>
        <v>0</v>
      </c>
      <c r="U19" s="121"/>
      <c r="V19" s="418">
        <f>N19</f>
        <v>0</v>
      </c>
      <c r="W19" s="418">
        <f>T19</f>
        <v>0</v>
      </c>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row>
    <row r="20" spans="1:108" s="21" customFormat="1" ht="13" x14ac:dyDescent="0.15">
      <c r="A20" s="121"/>
      <c r="B20" s="121" t="s">
        <v>422</v>
      </c>
      <c r="C20" s="393"/>
      <c r="D20" s="140" t="s">
        <v>30</v>
      </c>
      <c r="E20" s="121"/>
      <c r="F20" s="121"/>
      <c r="G20" s="121"/>
      <c r="H20" s="121"/>
      <c r="I20" s="121"/>
      <c r="J20" s="121"/>
      <c r="K20" s="121"/>
      <c r="L20" s="142">
        <f t="shared" si="0"/>
        <v>0</v>
      </c>
      <c r="M20" s="143">
        <f>VLOOKUP(B20,'Emissions Factors'!$B$32:$J$55,7, FALSE)</f>
        <v>10.210000000000001</v>
      </c>
      <c r="N20" s="145">
        <f>L20*M20/1000</f>
        <v>0</v>
      </c>
      <c r="O20" s="143">
        <f>VLOOKUP(B20,'Emissions Factors'!$B$32:$J$55,8, FALSE)</f>
        <v>0</v>
      </c>
      <c r="P20" s="145">
        <f>L20*O20*'Emissions Factors'!$C$75/1000</f>
        <v>0</v>
      </c>
      <c r="Q20" s="143">
        <f>VLOOKUP(B20,'Emissions Factors'!$B$32:$J$55,9, FALSE)</f>
        <v>0</v>
      </c>
      <c r="R20" s="145">
        <f>L20*Q20*'Emissions Factors'!$C$76/1000</f>
        <v>0</v>
      </c>
      <c r="S20" s="128"/>
      <c r="T20" s="128"/>
      <c r="U20" s="121"/>
      <c r="V20" s="418">
        <f>N20</f>
        <v>0</v>
      </c>
      <c r="W20" s="418"/>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row>
    <row r="21" spans="1:108" s="21" customFormat="1" x14ac:dyDescent="0.15">
      <c r="A21" s="121"/>
      <c r="B21" s="121" t="s">
        <v>326</v>
      </c>
      <c r="C21" s="393"/>
      <c r="D21" s="140" t="s">
        <v>30</v>
      </c>
      <c r="E21" s="121"/>
      <c r="F21" s="121"/>
      <c r="G21" s="121"/>
      <c r="H21" s="121"/>
      <c r="I21" s="121"/>
      <c r="J21" s="121"/>
      <c r="K21" s="121"/>
      <c r="L21" s="142">
        <f t="shared" si="0"/>
        <v>0</v>
      </c>
      <c r="M21" s="121"/>
      <c r="N21" s="121"/>
      <c r="O21" s="121"/>
      <c r="P21" s="2"/>
      <c r="Q21" s="121"/>
      <c r="R21" s="121"/>
      <c r="S21" s="143">
        <f>VLOOKUP(B21,'Emissions Factors'!$B$32:$L$55,11,FALSE)</f>
        <v>9.4499999999999993</v>
      </c>
      <c r="T21" s="145">
        <f>L21*S21/1000</f>
        <v>0</v>
      </c>
      <c r="U21" s="121"/>
      <c r="V21" s="418"/>
      <c r="W21" s="418">
        <f>T21</f>
        <v>0</v>
      </c>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row>
    <row r="22" spans="1:108" s="21" customFormat="1" ht="13" x14ac:dyDescent="0.15">
      <c r="A22" s="121"/>
      <c r="B22" s="121" t="s">
        <v>84</v>
      </c>
      <c r="C22" s="393"/>
      <c r="D22" s="140" t="s">
        <v>30</v>
      </c>
      <c r="E22" s="121"/>
      <c r="F22" s="121"/>
      <c r="G22" s="121"/>
      <c r="H22" s="121"/>
      <c r="I22" s="121"/>
      <c r="J22" s="121"/>
      <c r="K22" s="121"/>
      <c r="L22" s="142">
        <f t="shared" si="0"/>
        <v>0</v>
      </c>
      <c r="M22" s="143">
        <f>VLOOKUP(B22,'Emissions Factors'!$B$32:$J$55,7, FALSE)</f>
        <v>5.1050000000000004</v>
      </c>
      <c r="N22" s="145">
        <f>L22*M22/1000</f>
        <v>0</v>
      </c>
      <c r="O22" s="143">
        <f>VLOOKUP(B22,'Emissions Factors'!$B$32:$J$55,8, FALSE)</f>
        <v>2.05E-4</v>
      </c>
      <c r="P22" s="145">
        <f>L22*O22*'Emissions Factors'!$C$75/1000</f>
        <v>0</v>
      </c>
      <c r="Q22" s="143">
        <f>VLOOKUP(B22,'Emissions Factors'!$B$32:$J$55,9, FALSE)</f>
        <v>4.0000000000000003E-5</v>
      </c>
      <c r="R22" s="145">
        <f>L22*Q22*'Emissions Factors'!$C$76/1000</f>
        <v>0</v>
      </c>
      <c r="S22" s="143">
        <f>VLOOKUP(B22,'Emissions Factors'!$B$32:$L$55,11,FALSE)</f>
        <v>4.7249999999999996</v>
      </c>
      <c r="T22" s="145">
        <f>L22*S22/1000</f>
        <v>0</v>
      </c>
      <c r="U22" s="121"/>
      <c r="V22" s="418">
        <f>N22</f>
        <v>0</v>
      </c>
      <c r="W22" s="418">
        <f>T22</f>
        <v>0</v>
      </c>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row>
    <row r="23" spans="1:108" s="21" customFormat="1" ht="13" x14ac:dyDescent="0.15">
      <c r="A23" s="121"/>
      <c r="B23" s="121" t="s">
        <v>325</v>
      </c>
      <c r="C23" s="393"/>
      <c r="D23" s="140" t="s">
        <v>30</v>
      </c>
      <c r="E23" s="121"/>
      <c r="F23" s="121"/>
      <c r="G23" s="121"/>
      <c r="H23" s="121"/>
      <c r="I23" s="121"/>
      <c r="J23" s="121"/>
      <c r="K23" s="121"/>
      <c r="L23" s="142">
        <f t="shared" si="0"/>
        <v>0</v>
      </c>
      <c r="M23" s="143">
        <f>VLOOKUP(B23,'Emissions Factors'!$B$32:$J$55,7, FALSE)</f>
        <v>8.168000000000001</v>
      </c>
      <c r="N23" s="145">
        <f>L23*M23/1000</f>
        <v>0</v>
      </c>
      <c r="O23" s="143">
        <f>VLOOKUP(B23,'Emissions Factors'!$B$32:$J$55,8, FALSE)</f>
        <v>3.28E-4</v>
      </c>
      <c r="P23" s="145">
        <f>L23*O23*'Emissions Factors'!$C$75/1000</f>
        <v>0</v>
      </c>
      <c r="Q23" s="143">
        <f>VLOOKUP(B23,'Emissions Factors'!$B$32:$J$55,9, FALSE)</f>
        <v>6.4000000000000011E-5</v>
      </c>
      <c r="R23" s="145">
        <f>L23*Q23*'Emissions Factors'!$C$76/1000</f>
        <v>0</v>
      </c>
      <c r="S23" s="143">
        <f>VLOOKUP(B23,'Emissions Factors'!$B$32:$L$55,11,FALSE)</f>
        <v>1.89</v>
      </c>
      <c r="T23" s="145">
        <f>L23*S23/1000</f>
        <v>0</v>
      </c>
      <c r="U23" s="121"/>
      <c r="V23" s="418">
        <f>N23</f>
        <v>0</v>
      </c>
      <c r="W23" s="418">
        <f>T23</f>
        <v>0</v>
      </c>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row>
    <row r="24" spans="1:108" s="21" customFormat="1" ht="13" x14ac:dyDescent="0.15">
      <c r="A24" s="121"/>
      <c r="B24" s="121" t="s">
        <v>324</v>
      </c>
      <c r="C24" s="393"/>
      <c r="D24" s="140" t="s">
        <v>30</v>
      </c>
      <c r="E24" s="121"/>
      <c r="F24" s="121"/>
      <c r="G24" s="121"/>
      <c r="H24" s="121"/>
      <c r="I24" s="121"/>
      <c r="J24" s="121"/>
      <c r="K24" s="121"/>
      <c r="L24" s="142">
        <f t="shared" si="0"/>
        <v>0</v>
      </c>
      <c r="M24" s="143">
        <f>VLOOKUP(B24,'Emissions Factors'!$B$32:$J$55,7, FALSE)</f>
        <v>1.3169999999999999</v>
      </c>
      <c r="N24" s="145">
        <f>L24*M24/1000</f>
        <v>0</v>
      </c>
      <c r="O24" s="143">
        <f>VLOOKUP(B24,'Emissions Factors'!$B$32:$J$55,8, FALSE)</f>
        <v>5.7000000000000003E-5</v>
      </c>
      <c r="P24" s="145">
        <f>L24*O24*'Emissions Factors'!$C$75/1000</f>
        <v>0</v>
      </c>
      <c r="Q24" s="143">
        <f>VLOOKUP(B24,'Emissions Factors'!$B$32:$J$55,9, FALSE)</f>
        <v>1.2E-5</v>
      </c>
      <c r="R24" s="145">
        <f>L24*Q24*'Emissions Factors'!$C$76/1000</f>
        <v>0</v>
      </c>
      <c r="S24" s="143">
        <f>VLOOKUP(B24,'Emissions Factors'!$B$32:$L$55,11,FALSE)</f>
        <v>4.8875000000000002</v>
      </c>
      <c r="T24" s="145">
        <f>L24*S24/1000</f>
        <v>0</v>
      </c>
      <c r="U24" s="121"/>
      <c r="V24" s="418">
        <f>N24</f>
        <v>0</v>
      </c>
      <c r="W24" s="418">
        <f>T24</f>
        <v>0</v>
      </c>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row>
    <row r="25" spans="1:108" s="21" customFormat="1" x14ac:dyDescent="0.15">
      <c r="A25" s="121"/>
      <c r="B25" s="121" t="s">
        <v>323</v>
      </c>
      <c r="C25" s="393"/>
      <c r="D25" s="140" t="s">
        <v>30</v>
      </c>
      <c r="E25" s="121"/>
      <c r="F25" s="121"/>
      <c r="G25" s="121"/>
      <c r="H25" s="121"/>
      <c r="I25" s="121"/>
      <c r="J25" s="121"/>
      <c r="K25" s="121"/>
      <c r="L25" s="142">
        <f t="shared" si="0"/>
        <v>0</v>
      </c>
      <c r="M25" s="121"/>
      <c r="N25" s="121"/>
      <c r="O25" s="121"/>
      <c r="P25" s="2"/>
      <c r="Q25" s="121"/>
      <c r="R25" s="121"/>
      <c r="S25" s="143">
        <f>VLOOKUP(B25,'Emissions Factors'!$B$32:$L$55,11,FALSE)</f>
        <v>5.75</v>
      </c>
      <c r="T25" s="145">
        <f>L25*S25/1000</f>
        <v>0</v>
      </c>
      <c r="U25" s="121"/>
      <c r="V25" s="418"/>
      <c r="W25" s="418">
        <f>T25</f>
        <v>0</v>
      </c>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row>
    <row r="26" spans="1:108" s="21" customFormat="1" ht="13" x14ac:dyDescent="0.15">
      <c r="A26" s="121"/>
      <c r="B26" s="121" t="s">
        <v>118</v>
      </c>
      <c r="C26" s="393"/>
      <c r="D26" s="140" t="s">
        <v>30</v>
      </c>
      <c r="E26" s="121"/>
      <c r="F26" s="121"/>
      <c r="G26" s="121"/>
      <c r="H26" s="121"/>
      <c r="I26" s="121"/>
      <c r="J26" s="121"/>
      <c r="K26" s="121"/>
      <c r="L26" s="142">
        <f t="shared" si="0"/>
        <v>0</v>
      </c>
      <c r="M26" s="143">
        <f>VLOOKUP(B26,'Emissions Factors'!$B$32:$J$55,7, FALSE)</f>
        <v>4.5</v>
      </c>
      <c r="N26" s="145">
        <f>L26*M26/1000</f>
        <v>0</v>
      </c>
      <c r="O26" s="143">
        <f>VLOOKUP(B26,'Emissions Factors'!$B$32:$J$55,8, FALSE)</f>
        <v>0</v>
      </c>
      <c r="P26" s="145">
        <f>L26*O26*'Emissions Factors'!$C$75/1000</f>
        <v>0</v>
      </c>
      <c r="Q26" s="143">
        <f>VLOOKUP(B26,'Emissions Factors'!$B$32:$J$55,9, FALSE)</f>
        <v>0</v>
      </c>
      <c r="R26" s="145">
        <f>L26*Q26*'Emissions Factors'!$C$76/1000</f>
        <v>0</v>
      </c>
      <c r="S26" s="121"/>
      <c r="T26" s="121"/>
      <c r="U26" s="121"/>
      <c r="V26" s="418">
        <f>N26</f>
        <v>0</v>
      </c>
      <c r="W26" s="418"/>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row>
    <row r="27" spans="1:108" s="21" customFormat="1" ht="13" x14ac:dyDescent="0.15">
      <c r="A27" s="121"/>
      <c r="B27" s="121" t="s">
        <v>98</v>
      </c>
      <c r="C27" s="393"/>
      <c r="D27" s="140" t="s">
        <v>30</v>
      </c>
      <c r="E27" s="121"/>
      <c r="F27" s="121"/>
      <c r="G27" s="121"/>
      <c r="H27" s="121"/>
      <c r="I27" s="121"/>
      <c r="J27" s="121"/>
      <c r="K27" s="121"/>
      <c r="L27" s="142">
        <f t="shared" si="0"/>
        <v>0</v>
      </c>
      <c r="M27" s="143">
        <f>VLOOKUP(B27,'Emissions Factors'!$B$32:$J$55,7, FALSE)</f>
        <v>5.68</v>
      </c>
      <c r="N27" s="145">
        <f>L27*M27/1000</f>
        <v>0</v>
      </c>
      <c r="O27" s="143">
        <f>VLOOKUP(B27,'Emissions Factors'!$B$32:$J$55,8, FALSE)</f>
        <v>2.8000000000000003E-4</v>
      </c>
      <c r="P27" s="145">
        <f>L27*O27*'Emissions Factors'!$C$75/1000</f>
        <v>0</v>
      </c>
      <c r="Q27" s="143">
        <f>VLOOKUP(B27,'Emissions Factors'!$B$32:$J$55,9, FALSE)</f>
        <v>5.9999999999999995E-5</v>
      </c>
      <c r="R27" s="145">
        <f>L27*Q27*'Emissions Factors'!$C$76/1000</f>
        <v>0</v>
      </c>
      <c r="S27" s="121"/>
      <c r="T27" s="121"/>
      <c r="U27" s="121"/>
      <c r="V27" s="418">
        <f>N27</f>
        <v>0</v>
      </c>
      <c r="W27" s="418"/>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row>
    <row r="28" spans="1:108" s="21" customFormat="1" ht="13" x14ac:dyDescent="0.15">
      <c r="A28" s="121"/>
      <c r="B28" s="121" t="s">
        <v>26</v>
      </c>
      <c r="C28" s="393"/>
      <c r="D28" s="140" t="s">
        <v>30</v>
      </c>
      <c r="E28" s="121"/>
      <c r="F28" s="121"/>
      <c r="G28" s="121"/>
      <c r="H28" s="121"/>
      <c r="I28" s="121"/>
      <c r="J28" s="121"/>
      <c r="K28" s="121"/>
      <c r="L28" s="142">
        <f t="shared" si="0"/>
        <v>0</v>
      </c>
      <c r="M28" s="143">
        <f>VLOOKUP(B28,'Emissions Factors'!$B$32:$J$55,7, FALSE)</f>
        <v>5.72</v>
      </c>
      <c r="N28" s="145">
        <f>L28*M28/1000</f>
        <v>0</v>
      </c>
      <c r="O28" s="143">
        <f>VLOOKUP(B28,'Emissions Factors'!$B$32:$J$55,8, FALSE)</f>
        <v>2.7E-4</v>
      </c>
      <c r="P28" s="145">
        <f>L28*O28*'Emissions Factors'!$C$75/1000</f>
        <v>0</v>
      </c>
      <c r="Q28" s="143">
        <f>VLOOKUP(B28,'Emissions Factors'!$B$32:$J$55,9, FALSE)</f>
        <v>5.0000000000000002E-5</v>
      </c>
      <c r="R28" s="145">
        <f>L28*Q28*'Emissions Factors'!$C$76/1000</f>
        <v>0</v>
      </c>
      <c r="S28" s="121"/>
      <c r="T28" s="121"/>
      <c r="U28" s="121"/>
      <c r="V28" s="418">
        <f>N28</f>
        <v>0</v>
      </c>
      <c r="W28" s="418"/>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row>
    <row r="29" spans="1:108" s="21" customFormat="1" x14ac:dyDescent="0.15">
      <c r="A29" s="121"/>
      <c r="B29" s="158" t="s">
        <v>779</v>
      </c>
      <c r="C29" s="158"/>
      <c r="D29" s="158"/>
      <c r="E29" s="158"/>
      <c r="F29" s="155"/>
      <c r="G29" s="155"/>
      <c r="H29" s="273"/>
      <c r="I29" s="273"/>
      <c r="J29" s="121"/>
      <c r="K29" s="121"/>
      <c r="L29" s="121"/>
      <c r="M29" s="2"/>
      <c r="N29" s="121"/>
      <c r="O29" s="121"/>
      <c r="P29" s="2"/>
      <c r="Q29" s="2"/>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row>
    <row r="30" spans="1:108" s="21" customFormat="1" x14ac:dyDescent="0.15">
      <c r="A30" s="121"/>
      <c r="B30" s="511" t="s">
        <v>780</v>
      </c>
      <c r="C30" s="511"/>
      <c r="D30" s="511"/>
      <c r="E30" s="511"/>
      <c r="F30" s="155"/>
      <c r="G30" s="155"/>
      <c r="H30" s="121"/>
      <c r="I30" s="121"/>
      <c r="J30" s="121"/>
      <c r="K30" s="2"/>
      <c r="L30" s="2"/>
      <c r="M30" s="2"/>
      <c r="N30" s="121"/>
      <c r="O30" s="121"/>
      <c r="P30" s="2"/>
      <c r="Q30" s="2"/>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row>
    <row r="31" spans="1:108" s="21" customFormat="1" x14ac:dyDescent="0.15">
      <c r="A31" s="121"/>
      <c r="B31" s="158" t="s">
        <v>327</v>
      </c>
      <c r="C31" s="158"/>
      <c r="D31" s="238"/>
      <c r="E31" s="238"/>
      <c r="F31" s="155"/>
      <c r="G31" s="273"/>
      <c r="H31" s="121"/>
      <c r="I31" s="121"/>
      <c r="J31" s="121"/>
      <c r="K31" s="2"/>
      <c r="L31" s="2"/>
      <c r="M31" s="2"/>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row>
    <row r="32" spans="1:108" s="21" customFormat="1" x14ac:dyDescent="0.15">
      <c r="A32" s="121"/>
      <c r="B32" s="155"/>
      <c r="C32" s="155"/>
      <c r="D32" s="273"/>
      <c r="E32" s="273"/>
      <c r="F32" s="155"/>
      <c r="G32" s="273"/>
      <c r="H32" s="121"/>
      <c r="I32" s="121"/>
      <c r="J32" s="121"/>
      <c r="K32" s="2"/>
      <c r="L32" s="2"/>
      <c r="M32" s="2"/>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row>
    <row r="33" spans="1:108" ht="16" x14ac:dyDescent="0.2">
      <c r="B33" s="351" t="s">
        <v>692</v>
      </c>
      <c r="C33" s="351"/>
      <c r="V33" s="121"/>
    </row>
    <row r="34" spans="1:108" s="21" customFormat="1" ht="59" customHeight="1" x14ac:dyDescent="0.15">
      <c r="A34" s="121"/>
      <c r="B34" s="510" t="s">
        <v>814</v>
      </c>
      <c r="C34" s="510"/>
      <c r="D34" s="510"/>
      <c r="E34" s="510"/>
      <c r="F34" s="510"/>
      <c r="G34" s="510"/>
      <c r="H34" s="510"/>
      <c r="I34" s="363"/>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row>
    <row r="35" spans="1:108" s="21" customFormat="1" ht="16" x14ac:dyDescent="0.15">
      <c r="A35" s="121"/>
      <c r="B35" s="363"/>
      <c r="C35" s="363"/>
      <c r="D35" s="363"/>
      <c r="E35" s="363"/>
      <c r="F35" s="363"/>
      <c r="G35" s="363"/>
      <c r="H35" s="363"/>
      <c r="I35" s="363"/>
      <c r="J35" s="121"/>
      <c r="K35" s="121"/>
      <c r="L35" s="121"/>
      <c r="M35" s="121"/>
      <c r="N35" s="121"/>
      <c r="O35" s="121"/>
      <c r="P35" s="121"/>
      <c r="Q35" s="121"/>
      <c r="R35" s="121"/>
      <c r="S35" s="121"/>
      <c r="T35" s="121"/>
      <c r="U35" s="121"/>
      <c r="V35" s="121" t="s">
        <v>786</v>
      </c>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row>
    <row r="36" spans="1:108" s="21" customFormat="1" ht="16" x14ac:dyDescent="0.15">
      <c r="A36" s="121"/>
      <c r="B36" s="387" t="s">
        <v>781</v>
      </c>
      <c r="C36" s="387"/>
      <c r="D36" s="352"/>
      <c r="E36" s="352"/>
      <c r="F36" s="352"/>
      <c r="G36" s="363"/>
      <c r="H36" s="352"/>
      <c r="I36" s="363"/>
      <c r="J36" s="121"/>
      <c r="K36" s="156" t="s">
        <v>698</v>
      </c>
      <c r="L36" s="121"/>
      <c r="M36" s="121"/>
      <c r="N36" s="121"/>
      <c r="O36" s="121"/>
      <c r="P36" s="121"/>
      <c r="Q36" s="121"/>
      <c r="R36" s="121"/>
      <c r="S36" s="121"/>
      <c r="T36" s="121"/>
      <c r="U36" s="121"/>
      <c r="V36" s="121" t="s">
        <v>786</v>
      </c>
      <c r="W36" s="141"/>
      <c r="X36" s="14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21"/>
      <c r="CX36" s="121"/>
      <c r="CY36" s="121"/>
      <c r="CZ36" s="121"/>
      <c r="DA36" s="121"/>
      <c r="DB36" s="121"/>
      <c r="DC36" s="121"/>
      <c r="DD36" s="121"/>
    </row>
    <row r="37" spans="1:108" s="85" customFormat="1" ht="32" x14ac:dyDescent="0.2">
      <c r="A37" s="141"/>
      <c r="B37" s="85" t="s">
        <v>366</v>
      </c>
      <c r="C37" s="387"/>
      <c r="D37" s="354" t="s">
        <v>701</v>
      </c>
      <c r="E37" s="352"/>
      <c r="F37" s="141" t="s">
        <v>666</v>
      </c>
      <c r="G37" s="363"/>
      <c r="H37" s="159" t="s">
        <v>665</v>
      </c>
      <c r="I37" s="363"/>
      <c r="J37" s="121"/>
      <c r="K37" s="159" t="s">
        <v>201</v>
      </c>
      <c r="L37" s="159" t="s">
        <v>31</v>
      </c>
      <c r="M37" s="159" t="s">
        <v>93</v>
      </c>
      <c r="N37" s="159" t="s">
        <v>695</v>
      </c>
      <c r="O37" s="128" t="s">
        <v>713</v>
      </c>
      <c r="P37" s="128" t="s">
        <v>714</v>
      </c>
      <c r="Q37" s="128" t="s">
        <v>715</v>
      </c>
      <c r="R37" s="128" t="s">
        <v>716</v>
      </c>
      <c r="S37" s="159" t="s">
        <v>122</v>
      </c>
      <c r="T37" s="141" t="s">
        <v>694</v>
      </c>
      <c r="U37" s="141"/>
      <c r="V37" s="128" t="s">
        <v>554</v>
      </c>
      <c r="W37" s="128" t="s">
        <v>552</v>
      </c>
      <c r="X37" s="121"/>
      <c r="Y37" s="12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c r="CT37" s="141"/>
      <c r="CU37" s="141"/>
      <c r="CV37" s="141"/>
      <c r="CW37" s="141"/>
      <c r="CX37" s="141"/>
      <c r="CY37" s="141"/>
      <c r="CZ37" s="141"/>
      <c r="DA37" s="141"/>
      <c r="DB37" s="141"/>
      <c r="DC37" s="141"/>
      <c r="DD37" s="141"/>
    </row>
    <row r="38" spans="1:108" s="21" customFormat="1" ht="13" customHeight="1" x14ac:dyDescent="0.15">
      <c r="A38" s="121"/>
      <c r="B38" s="393"/>
      <c r="C38" s="387"/>
      <c r="D38" s="393"/>
      <c r="E38" s="352"/>
      <c r="F38" s="391"/>
      <c r="G38" s="363"/>
      <c r="H38" s="393"/>
      <c r="I38" s="363"/>
      <c r="J38" s="121"/>
      <c r="K38" s="142">
        <f t="shared" ref="K38:K55" si="1">H38</f>
        <v>0</v>
      </c>
      <c r="L38" s="142">
        <f t="shared" ref="L38:L55" si="2">IF(ISERROR(K38/F38)=TRUE,0,K38/F38)</f>
        <v>0</v>
      </c>
      <c r="M38" s="160">
        <f>IF(D38&gt;0,VLOOKUP(D38,'Emissions Factors'!$B$32:$J$55,7, FALSE),0)</f>
        <v>0</v>
      </c>
      <c r="N38" s="161">
        <f t="shared" ref="N38:N55" si="3">(L38*M38)/1000</f>
        <v>0</v>
      </c>
      <c r="O38" s="160">
        <f>IF(D38&gt;0,VLOOKUP(D38,'Emissions Factors'!$B$32:$J$55,8, FALSE),0)</f>
        <v>0</v>
      </c>
      <c r="P38" s="145">
        <f>L38*O38*'Emissions Factors'!$C$75/1000</f>
        <v>0</v>
      </c>
      <c r="Q38" s="143">
        <f>IF(D38&gt;0,VLOOKUP(D38,'Emissions Factors'!$B$32:$J$55,9, FALSE),0)</f>
        <v>0</v>
      </c>
      <c r="R38" s="145">
        <f>L38*Q38*'Emissions Factors'!$C$76/1000</f>
        <v>0</v>
      </c>
      <c r="S38" s="143">
        <f>IF(D38&gt;0,VLOOKUP(D38,'Emissions Factors'!$B$32:$L$55,11,FALSE),0)</f>
        <v>0</v>
      </c>
      <c r="T38" s="161">
        <f t="shared" ref="T38:T55" si="4">(L38*S38)/1000</f>
        <v>0</v>
      </c>
      <c r="U38" s="121"/>
      <c r="V38" s="418">
        <f>N38</f>
        <v>0</v>
      </c>
      <c r="W38" s="418">
        <f>T38</f>
        <v>0</v>
      </c>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row>
    <row r="39" spans="1:108" s="21" customFormat="1" ht="13" customHeight="1" x14ac:dyDescent="0.15">
      <c r="A39" s="121"/>
      <c r="B39" s="393"/>
      <c r="C39" s="387"/>
      <c r="D39" s="393"/>
      <c r="E39" s="352"/>
      <c r="F39" s="391"/>
      <c r="G39" s="363"/>
      <c r="H39" s="393"/>
      <c r="I39" s="363"/>
      <c r="J39" s="121"/>
      <c r="K39" s="142">
        <f t="shared" si="1"/>
        <v>0</v>
      </c>
      <c r="L39" s="142">
        <f t="shared" si="2"/>
        <v>0</v>
      </c>
      <c r="M39" s="160">
        <f>IF(D39&gt;0,VLOOKUP(D39,'Emissions Factors'!$B$32:$J$55,7, FALSE),0)</f>
        <v>0</v>
      </c>
      <c r="N39" s="161">
        <f t="shared" si="3"/>
        <v>0</v>
      </c>
      <c r="O39" s="160">
        <f>IF(D39&gt;0,VLOOKUP(D39,'Emissions Factors'!$B$32:$J$55,8, FALSE),0)</f>
        <v>0</v>
      </c>
      <c r="P39" s="145">
        <f>L39*O39*'Emissions Factors'!$C$75/1000</f>
        <v>0</v>
      </c>
      <c r="Q39" s="143">
        <f>IF(D39&gt;0,VLOOKUP(D39,'Emissions Factors'!$B$32:$J$55,9, FALSE),0)</f>
        <v>0</v>
      </c>
      <c r="R39" s="145">
        <f>L39*Q39*'Emissions Factors'!$C$76/1000</f>
        <v>0</v>
      </c>
      <c r="S39" s="143">
        <f>IF(D39&gt;0,VLOOKUP(D39,'Emissions Factors'!$B$32:$L$55,11,FALSE),0)</f>
        <v>0</v>
      </c>
      <c r="T39" s="161">
        <f t="shared" si="4"/>
        <v>0</v>
      </c>
      <c r="U39" s="121"/>
      <c r="V39" s="418">
        <f t="shared" ref="V39:V55" si="5">N39</f>
        <v>0</v>
      </c>
      <c r="W39" s="418">
        <f t="shared" ref="W39:W55" si="6">T39</f>
        <v>0</v>
      </c>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row>
    <row r="40" spans="1:108" s="21" customFormat="1" ht="13" customHeight="1" x14ac:dyDescent="0.15">
      <c r="A40" s="121"/>
      <c r="B40" s="393"/>
      <c r="C40" s="387"/>
      <c r="D40" s="393"/>
      <c r="E40" s="352"/>
      <c r="F40" s="391"/>
      <c r="G40" s="363"/>
      <c r="H40" s="393"/>
      <c r="I40" s="363"/>
      <c r="J40" s="121"/>
      <c r="K40" s="142">
        <f t="shared" si="1"/>
        <v>0</v>
      </c>
      <c r="L40" s="142">
        <f t="shared" si="2"/>
        <v>0</v>
      </c>
      <c r="M40" s="160">
        <f>IF(D40&gt;0,VLOOKUP(D40,'Emissions Factors'!$B$32:$J$55,7, FALSE),0)</f>
        <v>0</v>
      </c>
      <c r="N40" s="161">
        <f t="shared" si="3"/>
        <v>0</v>
      </c>
      <c r="O40" s="160">
        <f>IF(D40&gt;0,VLOOKUP(D40,'Emissions Factors'!$B$32:$J$55,8, FALSE),0)</f>
        <v>0</v>
      </c>
      <c r="P40" s="145">
        <f>L40*O40*'Emissions Factors'!$C$75/1000</f>
        <v>0</v>
      </c>
      <c r="Q40" s="143">
        <f>IF(D40&gt;0,VLOOKUP(D40,'Emissions Factors'!$B$32:$J$55,9, FALSE),0)</f>
        <v>0</v>
      </c>
      <c r="R40" s="145">
        <f>L40*Q40*'Emissions Factors'!$C$76/1000</f>
        <v>0</v>
      </c>
      <c r="S40" s="143">
        <f>IF(D40&gt;0,VLOOKUP(D40,'Emissions Factors'!$B$32:$L$55,11,FALSE),0)</f>
        <v>0</v>
      </c>
      <c r="T40" s="161">
        <f t="shared" si="4"/>
        <v>0</v>
      </c>
      <c r="U40" s="121"/>
      <c r="V40" s="418">
        <f t="shared" si="5"/>
        <v>0</v>
      </c>
      <c r="W40" s="418">
        <f t="shared" si="6"/>
        <v>0</v>
      </c>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row>
    <row r="41" spans="1:108" s="21" customFormat="1" ht="13" customHeight="1" x14ac:dyDescent="0.15">
      <c r="A41" s="121"/>
      <c r="B41" s="393"/>
      <c r="C41" s="387"/>
      <c r="D41" s="393"/>
      <c r="E41" s="352"/>
      <c r="F41" s="391"/>
      <c r="G41" s="363"/>
      <c r="H41" s="393"/>
      <c r="I41" s="363"/>
      <c r="J41" s="121"/>
      <c r="K41" s="142">
        <f t="shared" si="1"/>
        <v>0</v>
      </c>
      <c r="L41" s="142">
        <f t="shared" si="2"/>
        <v>0</v>
      </c>
      <c r="M41" s="160">
        <f>IF(D41&gt;0,VLOOKUP(D41,'Emissions Factors'!$B$32:$J$55,7, FALSE),0)</f>
        <v>0</v>
      </c>
      <c r="N41" s="161">
        <f t="shared" si="3"/>
        <v>0</v>
      </c>
      <c r="O41" s="160">
        <f>IF(D41&gt;0,VLOOKUP(D41,'Emissions Factors'!$B$32:$J$55,8, FALSE),0)</f>
        <v>0</v>
      </c>
      <c r="P41" s="145">
        <f>L41*O41*'Emissions Factors'!$C$75/1000</f>
        <v>0</v>
      </c>
      <c r="Q41" s="143">
        <f>IF(D41&gt;0,VLOOKUP(D41,'Emissions Factors'!$B$32:$J$55,9, FALSE),0)</f>
        <v>0</v>
      </c>
      <c r="R41" s="145">
        <f>L41*Q41*'Emissions Factors'!$C$76/1000</f>
        <v>0</v>
      </c>
      <c r="S41" s="143">
        <f>IF(D41&gt;0,VLOOKUP(D41,'Emissions Factors'!$B$32:$L$55,11,FALSE),0)</f>
        <v>0</v>
      </c>
      <c r="T41" s="161">
        <f t="shared" si="4"/>
        <v>0</v>
      </c>
      <c r="U41" s="121"/>
      <c r="V41" s="418">
        <f t="shared" si="5"/>
        <v>0</v>
      </c>
      <c r="W41" s="418">
        <f t="shared" si="6"/>
        <v>0</v>
      </c>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row>
    <row r="42" spans="1:108" s="21" customFormat="1" ht="13" customHeight="1" x14ac:dyDescent="0.15">
      <c r="A42" s="121"/>
      <c r="B42" s="393"/>
      <c r="C42" s="387"/>
      <c r="D42" s="393"/>
      <c r="E42" s="352"/>
      <c r="F42" s="391"/>
      <c r="G42" s="363"/>
      <c r="H42" s="393"/>
      <c r="I42" s="363"/>
      <c r="J42" s="121"/>
      <c r="K42" s="142">
        <f t="shared" si="1"/>
        <v>0</v>
      </c>
      <c r="L42" s="142">
        <f t="shared" si="2"/>
        <v>0</v>
      </c>
      <c r="M42" s="160">
        <f>IF(D42&gt;0,VLOOKUP(D42,'Emissions Factors'!$B$32:$J$55,7, FALSE),0)</f>
        <v>0</v>
      </c>
      <c r="N42" s="161">
        <f t="shared" si="3"/>
        <v>0</v>
      </c>
      <c r="O42" s="160">
        <f>IF(D42&gt;0,VLOOKUP(D42,'Emissions Factors'!$B$32:$J$55,8, FALSE),0)</f>
        <v>0</v>
      </c>
      <c r="P42" s="145">
        <f>L42*O42*'Emissions Factors'!$C$75/1000</f>
        <v>0</v>
      </c>
      <c r="Q42" s="143">
        <f>IF(D42&gt;0,VLOOKUP(D42,'Emissions Factors'!$B$32:$J$55,9, FALSE),0)</f>
        <v>0</v>
      </c>
      <c r="R42" s="145">
        <f>L42*Q42*'Emissions Factors'!$C$76/1000</f>
        <v>0</v>
      </c>
      <c r="S42" s="143">
        <f>IF(D42&gt;0,VLOOKUP(D42,'Emissions Factors'!$B$32:$L$55,11,FALSE),0)</f>
        <v>0</v>
      </c>
      <c r="T42" s="161">
        <f t="shared" si="4"/>
        <v>0</v>
      </c>
      <c r="U42" s="121"/>
      <c r="V42" s="418">
        <f t="shared" si="5"/>
        <v>0</v>
      </c>
      <c r="W42" s="418">
        <f t="shared" si="6"/>
        <v>0</v>
      </c>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row>
    <row r="43" spans="1:108" s="21" customFormat="1" ht="13" customHeight="1" x14ac:dyDescent="0.15">
      <c r="A43" s="121"/>
      <c r="B43" s="393"/>
      <c r="C43" s="387"/>
      <c r="D43" s="393"/>
      <c r="E43" s="352"/>
      <c r="F43" s="391"/>
      <c r="G43" s="363"/>
      <c r="H43" s="393"/>
      <c r="I43" s="363"/>
      <c r="J43" s="121"/>
      <c r="K43" s="142">
        <f t="shared" si="1"/>
        <v>0</v>
      </c>
      <c r="L43" s="142">
        <f t="shared" si="2"/>
        <v>0</v>
      </c>
      <c r="M43" s="160">
        <f>IF(D43&gt;0,VLOOKUP(D43,'Emissions Factors'!$B$32:$J$55,7, FALSE),0)</f>
        <v>0</v>
      </c>
      <c r="N43" s="161">
        <f t="shared" si="3"/>
        <v>0</v>
      </c>
      <c r="O43" s="160">
        <f>IF(D43&gt;0,VLOOKUP(D43,'Emissions Factors'!$B$32:$J$55,8, FALSE),0)</f>
        <v>0</v>
      </c>
      <c r="P43" s="145">
        <f>L43*O43*'Emissions Factors'!$C$75/1000</f>
        <v>0</v>
      </c>
      <c r="Q43" s="143">
        <f>IF(D43&gt;0,VLOOKUP(D43,'Emissions Factors'!$B$32:$J$55,9, FALSE),0)</f>
        <v>0</v>
      </c>
      <c r="R43" s="145">
        <f>L43*Q43*'Emissions Factors'!$C$76/1000</f>
        <v>0</v>
      </c>
      <c r="S43" s="143">
        <f>IF(D43&gt;0,VLOOKUP(D43,'Emissions Factors'!$B$32:$L$55,11,FALSE),0)</f>
        <v>0</v>
      </c>
      <c r="T43" s="161">
        <f t="shared" si="4"/>
        <v>0</v>
      </c>
      <c r="U43" s="121"/>
      <c r="V43" s="418">
        <f t="shared" si="5"/>
        <v>0</v>
      </c>
      <c r="W43" s="418">
        <f t="shared" si="6"/>
        <v>0</v>
      </c>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row>
    <row r="44" spans="1:108" s="21" customFormat="1" ht="13" customHeight="1" x14ac:dyDescent="0.15">
      <c r="A44" s="121"/>
      <c r="B44" s="393"/>
      <c r="C44" s="387"/>
      <c r="D44" s="393"/>
      <c r="E44" s="352"/>
      <c r="F44" s="391"/>
      <c r="G44" s="363"/>
      <c r="H44" s="393"/>
      <c r="I44" s="363"/>
      <c r="J44" s="121"/>
      <c r="K44" s="142">
        <f t="shared" si="1"/>
        <v>0</v>
      </c>
      <c r="L44" s="142">
        <f t="shared" si="2"/>
        <v>0</v>
      </c>
      <c r="M44" s="160">
        <f>IF(D44&gt;0,VLOOKUP(D44,'Emissions Factors'!$B$32:$J$55,7, FALSE),0)</f>
        <v>0</v>
      </c>
      <c r="N44" s="161">
        <f t="shared" si="3"/>
        <v>0</v>
      </c>
      <c r="O44" s="160">
        <f>IF(D44&gt;0,VLOOKUP(D44,'Emissions Factors'!$B$32:$J$55,8, FALSE),0)</f>
        <v>0</v>
      </c>
      <c r="P44" s="145">
        <f>L44*O44*'Emissions Factors'!$C$75/1000</f>
        <v>0</v>
      </c>
      <c r="Q44" s="143">
        <f>IF(D44&gt;0,VLOOKUP(D44,'Emissions Factors'!$B$32:$J$55,9, FALSE),0)</f>
        <v>0</v>
      </c>
      <c r="R44" s="145">
        <f>L44*Q44*'Emissions Factors'!$C$76/1000</f>
        <v>0</v>
      </c>
      <c r="S44" s="143">
        <f>IF(D44&gt;0,VLOOKUP(D44,'Emissions Factors'!$B$32:$L$55,11,FALSE),0)</f>
        <v>0</v>
      </c>
      <c r="T44" s="161">
        <f t="shared" si="4"/>
        <v>0</v>
      </c>
      <c r="U44" s="121"/>
      <c r="V44" s="418">
        <f t="shared" si="5"/>
        <v>0</v>
      </c>
      <c r="W44" s="418">
        <f t="shared" si="6"/>
        <v>0</v>
      </c>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row>
    <row r="45" spans="1:108" s="21" customFormat="1" ht="13" customHeight="1" x14ac:dyDescent="0.15">
      <c r="A45" s="121"/>
      <c r="B45" s="393"/>
      <c r="C45" s="387"/>
      <c r="D45" s="393"/>
      <c r="E45" s="352"/>
      <c r="F45" s="391"/>
      <c r="G45" s="363"/>
      <c r="H45" s="393"/>
      <c r="I45" s="363"/>
      <c r="J45" s="121"/>
      <c r="K45" s="142">
        <f t="shared" si="1"/>
        <v>0</v>
      </c>
      <c r="L45" s="142">
        <f t="shared" si="2"/>
        <v>0</v>
      </c>
      <c r="M45" s="160">
        <f>IF(D45&gt;0,VLOOKUP(D45,'Emissions Factors'!$B$32:$J$55,7, FALSE),0)</f>
        <v>0</v>
      </c>
      <c r="N45" s="161">
        <f t="shared" si="3"/>
        <v>0</v>
      </c>
      <c r="O45" s="160">
        <f>IF(D45&gt;0,VLOOKUP(D45,'Emissions Factors'!$B$32:$J$55,8, FALSE),0)</f>
        <v>0</v>
      </c>
      <c r="P45" s="145">
        <f>L45*O45*'Emissions Factors'!$C$75/1000</f>
        <v>0</v>
      </c>
      <c r="Q45" s="143">
        <f>IF(D45&gt;0,VLOOKUP(D45,'Emissions Factors'!$B$32:$J$55,9, FALSE),0)</f>
        <v>0</v>
      </c>
      <c r="R45" s="145">
        <f>L45*Q45*'Emissions Factors'!$C$76/1000</f>
        <v>0</v>
      </c>
      <c r="S45" s="143">
        <f>IF(D45&gt;0,VLOOKUP(D45,'Emissions Factors'!$B$32:$L$55,11,FALSE),0)</f>
        <v>0</v>
      </c>
      <c r="T45" s="161">
        <f t="shared" si="4"/>
        <v>0</v>
      </c>
      <c r="U45" s="121"/>
      <c r="V45" s="418">
        <f t="shared" si="5"/>
        <v>0</v>
      </c>
      <c r="W45" s="418">
        <f t="shared" si="6"/>
        <v>0</v>
      </c>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row>
    <row r="46" spans="1:108" s="21" customFormat="1" ht="13" customHeight="1" x14ac:dyDescent="0.15">
      <c r="A46" s="121"/>
      <c r="B46" s="393"/>
      <c r="C46" s="387"/>
      <c r="D46" s="393"/>
      <c r="E46" s="352"/>
      <c r="F46" s="391"/>
      <c r="G46" s="363"/>
      <c r="H46" s="393"/>
      <c r="I46" s="363"/>
      <c r="J46" s="121"/>
      <c r="K46" s="142">
        <f t="shared" si="1"/>
        <v>0</v>
      </c>
      <c r="L46" s="142">
        <f t="shared" si="2"/>
        <v>0</v>
      </c>
      <c r="M46" s="160">
        <f>IF(D46&gt;0,VLOOKUP(D46,'Emissions Factors'!$B$32:$J$55,7, FALSE),0)</f>
        <v>0</v>
      </c>
      <c r="N46" s="161">
        <f t="shared" si="3"/>
        <v>0</v>
      </c>
      <c r="O46" s="160">
        <f>IF(D46&gt;0,VLOOKUP(D46,'Emissions Factors'!$B$32:$J$55,8, FALSE),0)</f>
        <v>0</v>
      </c>
      <c r="P46" s="145">
        <f>L46*O46*'Emissions Factors'!$C$75/1000</f>
        <v>0</v>
      </c>
      <c r="Q46" s="143">
        <f>IF(D46&gt;0,VLOOKUP(D46,'Emissions Factors'!$B$32:$J$55,9, FALSE),0)</f>
        <v>0</v>
      </c>
      <c r="R46" s="145">
        <f>L46*Q46*'Emissions Factors'!$C$76/1000</f>
        <v>0</v>
      </c>
      <c r="S46" s="143">
        <f>IF(D46&gt;0,VLOOKUP(D46,'Emissions Factors'!$B$32:$L$55,11,FALSE),0)</f>
        <v>0</v>
      </c>
      <c r="T46" s="161">
        <f t="shared" si="4"/>
        <v>0</v>
      </c>
      <c r="U46" s="121"/>
      <c r="V46" s="418">
        <f t="shared" si="5"/>
        <v>0</v>
      </c>
      <c r="W46" s="418">
        <f t="shared" si="6"/>
        <v>0</v>
      </c>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row>
    <row r="47" spans="1:108" s="21" customFormat="1" ht="13" customHeight="1" x14ac:dyDescent="0.15">
      <c r="A47" s="121"/>
      <c r="B47" s="393"/>
      <c r="C47" s="387"/>
      <c r="D47" s="393"/>
      <c r="E47" s="352"/>
      <c r="F47" s="391"/>
      <c r="G47" s="363"/>
      <c r="H47" s="393"/>
      <c r="I47" s="363"/>
      <c r="J47" s="121"/>
      <c r="K47" s="142">
        <f t="shared" si="1"/>
        <v>0</v>
      </c>
      <c r="L47" s="142">
        <f t="shared" si="2"/>
        <v>0</v>
      </c>
      <c r="M47" s="160">
        <f>IF(D47&gt;0,VLOOKUP(D47,'Emissions Factors'!$B$32:$J$55,7, FALSE),0)</f>
        <v>0</v>
      </c>
      <c r="N47" s="161">
        <f t="shared" si="3"/>
        <v>0</v>
      </c>
      <c r="O47" s="160">
        <f>IF(D47&gt;0,VLOOKUP(D47,'Emissions Factors'!$B$32:$J$55,8, FALSE),0)</f>
        <v>0</v>
      </c>
      <c r="P47" s="145">
        <f>L47*O47*'Emissions Factors'!$C$75/1000</f>
        <v>0</v>
      </c>
      <c r="Q47" s="143">
        <f>IF(D47&gt;0,VLOOKUP(D47,'Emissions Factors'!$B$32:$J$55,9, FALSE),0)</f>
        <v>0</v>
      </c>
      <c r="R47" s="145">
        <f>L47*Q47*'Emissions Factors'!$C$76/1000</f>
        <v>0</v>
      </c>
      <c r="S47" s="143">
        <f>IF(D47&gt;0,VLOOKUP(D47,'Emissions Factors'!$B$32:$L$55,11,FALSE),0)</f>
        <v>0</v>
      </c>
      <c r="T47" s="161">
        <f t="shared" si="4"/>
        <v>0</v>
      </c>
      <c r="U47" s="121"/>
      <c r="V47" s="418">
        <f t="shared" si="5"/>
        <v>0</v>
      </c>
      <c r="W47" s="418">
        <f t="shared" si="6"/>
        <v>0</v>
      </c>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row>
    <row r="48" spans="1:108" s="21" customFormat="1" ht="13" customHeight="1" x14ac:dyDescent="0.15">
      <c r="A48" s="121"/>
      <c r="B48" s="393"/>
      <c r="C48" s="387"/>
      <c r="D48" s="393"/>
      <c r="E48" s="352"/>
      <c r="F48" s="391"/>
      <c r="G48" s="363"/>
      <c r="H48" s="393"/>
      <c r="I48" s="363"/>
      <c r="J48" s="121"/>
      <c r="K48" s="142">
        <f t="shared" si="1"/>
        <v>0</v>
      </c>
      <c r="L48" s="142">
        <f t="shared" si="2"/>
        <v>0</v>
      </c>
      <c r="M48" s="160">
        <f>IF(D48&gt;0,VLOOKUP(D48,'Emissions Factors'!$B$32:$J$55,7, FALSE),0)</f>
        <v>0</v>
      </c>
      <c r="N48" s="161">
        <f t="shared" si="3"/>
        <v>0</v>
      </c>
      <c r="O48" s="160">
        <f>IF(D48&gt;0,VLOOKUP(D48,'Emissions Factors'!$B$32:$J$55,8, FALSE),0)</f>
        <v>0</v>
      </c>
      <c r="P48" s="145">
        <f>L48*O48*'Emissions Factors'!$C$75/1000</f>
        <v>0</v>
      </c>
      <c r="Q48" s="143">
        <f>IF(D48&gt;0,VLOOKUP(D48,'Emissions Factors'!$B$32:$J$55,9, FALSE),0)</f>
        <v>0</v>
      </c>
      <c r="R48" s="145">
        <f>L48*Q48*'Emissions Factors'!$C$76/1000</f>
        <v>0</v>
      </c>
      <c r="S48" s="143">
        <f>IF(D48&gt;0,VLOOKUP(D48,'Emissions Factors'!$B$32:$L$55,11,FALSE),0)</f>
        <v>0</v>
      </c>
      <c r="T48" s="161">
        <f t="shared" si="4"/>
        <v>0</v>
      </c>
      <c r="U48" s="121"/>
      <c r="V48" s="418">
        <f t="shared" si="5"/>
        <v>0</v>
      </c>
      <c r="W48" s="418">
        <f t="shared" si="6"/>
        <v>0</v>
      </c>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row>
    <row r="49" spans="1:108" s="21" customFormat="1" ht="13" customHeight="1" x14ac:dyDescent="0.15">
      <c r="A49" s="121"/>
      <c r="B49" s="393"/>
      <c r="C49" s="387"/>
      <c r="D49" s="393"/>
      <c r="E49" s="352"/>
      <c r="F49" s="391"/>
      <c r="G49" s="363"/>
      <c r="H49" s="393"/>
      <c r="I49" s="363"/>
      <c r="J49" s="121"/>
      <c r="K49" s="142">
        <f t="shared" si="1"/>
        <v>0</v>
      </c>
      <c r="L49" s="142">
        <f t="shared" si="2"/>
        <v>0</v>
      </c>
      <c r="M49" s="160">
        <f>IF(D49&gt;0,VLOOKUP(D49,'Emissions Factors'!$B$32:$J$55,7, FALSE),0)</f>
        <v>0</v>
      </c>
      <c r="N49" s="161">
        <f t="shared" si="3"/>
        <v>0</v>
      </c>
      <c r="O49" s="160">
        <f>IF(D49&gt;0,VLOOKUP(D49,'Emissions Factors'!$B$32:$J$55,8, FALSE),0)</f>
        <v>0</v>
      </c>
      <c r="P49" s="145">
        <f>L49*O49*'Emissions Factors'!$C$75/1000</f>
        <v>0</v>
      </c>
      <c r="Q49" s="143">
        <f>IF(D49&gt;0,VLOOKUP(D49,'Emissions Factors'!$B$32:$J$55,9, FALSE),0)</f>
        <v>0</v>
      </c>
      <c r="R49" s="145">
        <f>L49*Q49*'Emissions Factors'!$C$76/1000</f>
        <v>0</v>
      </c>
      <c r="S49" s="143">
        <f>IF(D49&gt;0,VLOOKUP(D49,'Emissions Factors'!$B$32:$L$55,11,FALSE),0)</f>
        <v>0</v>
      </c>
      <c r="T49" s="161">
        <f t="shared" si="4"/>
        <v>0</v>
      </c>
      <c r="U49" s="121"/>
      <c r="V49" s="418">
        <f t="shared" si="5"/>
        <v>0</v>
      </c>
      <c r="W49" s="418">
        <f t="shared" si="6"/>
        <v>0</v>
      </c>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row>
    <row r="50" spans="1:108" s="21" customFormat="1" ht="13" customHeight="1" x14ac:dyDescent="0.15">
      <c r="A50" s="121"/>
      <c r="B50" s="393"/>
      <c r="C50" s="387"/>
      <c r="D50" s="393"/>
      <c r="E50" s="352"/>
      <c r="F50" s="391"/>
      <c r="G50" s="363"/>
      <c r="H50" s="393"/>
      <c r="I50" s="363"/>
      <c r="J50" s="121"/>
      <c r="K50" s="142">
        <f t="shared" si="1"/>
        <v>0</v>
      </c>
      <c r="L50" s="142">
        <f t="shared" si="2"/>
        <v>0</v>
      </c>
      <c r="M50" s="160">
        <f>IF(D50&gt;0,VLOOKUP(D50,'Emissions Factors'!$B$32:$J$55,7, FALSE),0)</f>
        <v>0</v>
      </c>
      <c r="N50" s="161">
        <f t="shared" si="3"/>
        <v>0</v>
      </c>
      <c r="O50" s="160">
        <f>IF(D50&gt;0,VLOOKUP(D50,'Emissions Factors'!$B$32:$J$55,8, FALSE),0)</f>
        <v>0</v>
      </c>
      <c r="P50" s="145">
        <f>L50*O50*'Emissions Factors'!$C$75/1000</f>
        <v>0</v>
      </c>
      <c r="Q50" s="143">
        <f>IF(D50&gt;0,VLOOKUP(D50,'Emissions Factors'!$B$32:$J$55,9, FALSE),0)</f>
        <v>0</v>
      </c>
      <c r="R50" s="145">
        <f>L50*Q50*'Emissions Factors'!$C$76/1000</f>
        <v>0</v>
      </c>
      <c r="S50" s="143">
        <f>IF(D50&gt;0,VLOOKUP(D50,'Emissions Factors'!$B$32:$L$55,11,FALSE),0)</f>
        <v>0</v>
      </c>
      <c r="T50" s="161">
        <f t="shared" si="4"/>
        <v>0</v>
      </c>
      <c r="U50" s="121"/>
      <c r="V50" s="418">
        <f t="shared" si="5"/>
        <v>0</v>
      </c>
      <c r="W50" s="418">
        <f t="shared" si="6"/>
        <v>0</v>
      </c>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row>
    <row r="51" spans="1:108" s="21" customFormat="1" ht="13" customHeight="1" x14ac:dyDescent="0.15">
      <c r="A51" s="121"/>
      <c r="B51" s="393"/>
      <c r="C51" s="387"/>
      <c r="D51" s="393"/>
      <c r="E51" s="352"/>
      <c r="F51" s="391"/>
      <c r="G51" s="363"/>
      <c r="H51" s="393"/>
      <c r="I51" s="363"/>
      <c r="J51" s="121"/>
      <c r="K51" s="142">
        <f t="shared" si="1"/>
        <v>0</v>
      </c>
      <c r="L51" s="142">
        <f t="shared" si="2"/>
        <v>0</v>
      </c>
      <c r="M51" s="160">
        <f>IF(D51&gt;0,VLOOKUP(D51,'Emissions Factors'!$B$32:$J$55,7, FALSE),0)</f>
        <v>0</v>
      </c>
      <c r="N51" s="161">
        <f t="shared" si="3"/>
        <v>0</v>
      </c>
      <c r="O51" s="160">
        <f>IF(D51&gt;0,VLOOKUP(D51,'Emissions Factors'!$B$32:$J$55,8, FALSE),0)</f>
        <v>0</v>
      </c>
      <c r="P51" s="145">
        <f>L51*O51*'Emissions Factors'!$C$75/1000</f>
        <v>0</v>
      </c>
      <c r="Q51" s="143">
        <f>IF(D51&gt;0,VLOOKUP(D51,'Emissions Factors'!$B$32:$J$55,9, FALSE),0)</f>
        <v>0</v>
      </c>
      <c r="R51" s="145">
        <f>L51*Q51*'Emissions Factors'!$C$76/1000</f>
        <v>0</v>
      </c>
      <c r="S51" s="143">
        <f>IF(D51&gt;0,VLOOKUP(D51,'Emissions Factors'!$B$32:$L$55,11,FALSE),0)</f>
        <v>0</v>
      </c>
      <c r="T51" s="161">
        <f t="shared" si="4"/>
        <v>0</v>
      </c>
      <c r="U51" s="121"/>
      <c r="V51" s="418">
        <f t="shared" si="5"/>
        <v>0</v>
      </c>
      <c r="W51" s="418">
        <f t="shared" si="6"/>
        <v>0</v>
      </c>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row>
    <row r="52" spans="1:108" s="21" customFormat="1" ht="13" customHeight="1" x14ac:dyDescent="0.15">
      <c r="A52" s="121"/>
      <c r="B52" s="393"/>
      <c r="C52" s="387"/>
      <c r="D52" s="393"/>
      <c r="E52" s="352"/>
      <c r="F52" s="391"/>
      <c r="G52" s="363"/>
      <c r="H52" s="393"/>
      <c r="I52" s="363"/>
      <c r="J52" s="121"/>
      <c r="K52" s="142">
        <f t="shared" si="1"/>
        <v>0</v>
      </c>
      <c r="L52" s="142">
        <f t="shared" si="2"/>
        <v>0</v>
      </c>
      <c r="M52" s="160">
        <f>IF(D52&gt;0,VLOOKUP(D52,'Emissions Factors'!$B$32:$J$55,7, FALSE),0)</f>
        <v>0</v>
      </c>
      <c r="N52" s="161">
        <f t="shared" si="3"/>
        <v>0</v>
      </c>
      <c r="O52" s="160">
        <f>IF(D52&gt;0,VLOOKUP(D52,'Emissions Factors'!$B$32:$J$55,8, FALSE),0)</f>
        <v>0</v>
      </c>
      <c r="P52" s="145">
        <f>L52*O52*'Emissions Factors'!$C$75/1000</f>
        <v>0</v>
      </c>
      <c r="Q52" s="143">
        <f>IF(D52&gt;0,VLOOKUP(D52,'Emissions Factors'!$B$32:$J$55,9, FALSE),0)</f>
        <v>0</v>
      </c>
      <c r="R52" s="145">
        <f>L52*Q52*'Emissions Factors'!$C$76/1000</f>
        <v>0</v>
      </c>
      <c r="S52" s="143">
        <f>IF(D52&gt;0,VLOOKUP(D52,'Emissions Factors'!$B$32:$L$55,11,FALSE),0)</f>
        <v>0</v>
      </c>
      <c r="T52" s="161">
        <f t="shared" si="4"/>
        <v>0</v>
      </c>
      <c r="U52" s="121"/>
      <c r="V52" s="418">
        <f t="shared" si="5"/>
        <v>0</v>
      </c>
      <c r="W52" s="418">
        <f t="shared" si="6"/>
        <v>0</v>
      </c>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c r="BT52" s="121"/>
      <c r="BU52" s="121"/>
      <c r="BV52" s="121"/>
      <c r="BW52" s="121"/>
      <c r="BX52" s="121"/>
      <c r="BY52" s="121"/>
      <c r="BZ52" s="121"/>
      <c r="CA52" s="121"/>
      <c r="CB52" s="121"/>
      <c r="CC52" s="121"/>
      <c r="CD52" s="121"/>
      <c r="CE52" s="121"/>
      <c r="CF52" s="121"/>
      <c r="CG52" s="121"/>
      <c r="CH52" s="121"/>
      <c r="CI52" s="121"/>
      <c r="CJ52" s="121"/>
      <c r="CK52" s="121"/>
      <c r="CL52" s="121"/>
      <c r="CM52" s="121"/>
      <c r="CN52" s="121"/>
      <c r="CO52" s="121"/>
      <c r="CP52" s="121"/>
      <c r="CQ52" s="121"/>
      <c r="CR52" s="121"/>
      <c r="CS52" s="121"/>
      <c r="CT52" s="121"/>
      <c r="CU52" s="121"/>
      <c r="CV52" s="121"/>
      <c r="CW52" s="121"/>
      <c r="CX52" s="121"/>
      <c r="CY52" s="121"/>
      <c r="CZ52" s="121"/>
      <c r="DA52" s="121"/>
      <c r="DB52" s="121"/>
      <c r="DC52" s="121"/>
      <c r="DD52" s="121"/>
    </row>
    <row r="53" spans="1:108" s="21" customFormat="1" ht="13" customHeight="1" x14ac:dyDescent="0.15">
      <c r="A53" s="121"/>
      <c r="B53" s="393"/>
      <c r="C53" s="387"/>
      <c r="D53" s="393"/>
      <c r="E53" s="352"/>
      <c r="F53" s="391"/>
      <c r="G53" s="363"/>
      <c r="H53" s="393"/>
      <c r="I53" s="363"/>
      <c r="J53" s="121"/>
      <c r="K53" s="142">
        <f t="shared" si="1"/>
        <v>0</v>
      </c>
      <c r="L53" s="142">
        <f t="shared" si="2"/>
        <v>0</v>
      </c>
      <c r="M53" s="160">
        <f>IF(D53&gt;0,VLOOKUP(D53,'Emissions Factors'!$B$32:$J$55,7, FALSE),0)</f>
        <v>0</v>
      </c>
      <c r="N53" s="161">
        <f t="shared" si="3"/>
        <v>0</v>
      </c>
      <c r="O53" s="160">
        <f>IF(D53&gt;0,VLOOKUP(D53,'Emissions Factors'!$B$32:$J$55,8, FALSE),0)</f>
        <v>0</v>
      </c>
      <c r="P53" s="145">
        <f>L53*O53*'Emissions Factors'!$C$75/1000</f>
        <v>0</v>
      </c>
      <c r="Q53" s="143">
        <f>IF(D53&gt;0,VLOOKUP(D53,'Emissions Factors'!$B$32:$J$55,9, FALSE),0)</f>
        <v>0</v>
      </c>
      <c r="R53" s="145">
        <f>L53*Q53*'Emissions Factors'!$C$76/1000</f>
        <v>0</v>
      </c>
      <c r="S53" s="143">
        <f>IF(D53&gt;0,VLOOKUP(D53,'Emissions Factors'!$B$32:$L$55,11,FALSE),0)</f>
        <v>0</v>
      </c>
      <c r="T53" s="161">
        <f t="shared" si="4"/>
        <v>0</v>
      </c>
      <c r="U53" s="121"/>
      <c r="V53" s="418">
        <f t="shared" si="5"/>
        <v>0</v>
      </c>
      <c r="W53" s="418">
        <f t="shared" si="6"/>
        <v>0</v>
      </c>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1"/>
      <c r="CW53" s="121"/>
      <c r="CX53" s="121"/>
      <c r="CY53" s="121"/>
      <c r="CZ53" s="121"/>
      <c r="DA53" s="121"/>
      <c r="DB53" s="121"/>
      <c r="DC53" s="121"/>
      <c r="DD53" s="121"/>
    </row>
    <row r="54" spans="1:108" s="21" customFormat="1" ht="13" customHeight="1" x14ac:dyDescent="0.15">
      <c r="A54" s="121"/>
      <c r="B54" s="393"/>
      <c r="C54" s="387"/>
      <c r="D54" s="393"/>
      <c r="E54" s="352"/>
      <c r="F54" s="391"/>
      <c r="G54" s="363"/>
      <c r="H54" s="393"/>
      <c r="I54" s="363"/>
      <c r="J54" s="121"/>
      <c r="K54" s="142">
        <f t="shared" si="1"/>
        <v>0</v>
      </c>
      <c r="L54" s="142">
        <f t="shared" si="2"/>
        <v>0</v>
      </c>
      <c r="M54" s="160">
        <f>IF(D54&gt;0,VLOOKUP(D54,'Emissions Factors'!$B$32:$J$55,7, FALSE),0)</f>
        <v>0</v>
      </c>
      <c r="N54" s="161">
        <f t="shared" si="3"/>
        <v>0</v>
      </c>
      <c r="O54" s="160">
        <f>IF(D54&gt;0,VLOOKUP(D54,'Emissions Factors'!$B$32:$J$55,8, FALSE),0)</f>
        <v>0</v>
      </c>
      <c r="P54" s="145">
        <f>L54*O54*'Emissions Factors'!$C$75/1000</f>
        <v>0</v>
      </c>
      <c r="Q54" s="143">
        <f>IF(D54&gt;0,VLOOKUP(D54,'Emissions Factors'!$B$32:$J$55,9, FALSE),0)</f>
        <v>0</v>
      </c>
      <c r="R54" s="145">
        <f>L54*Q54*'Emissions Factors'!$C$76/1000</f>
        <v>0</v>
      </c>
      <c r="S54" s="143">
        <f>IF(D54&gt;0,VLOOKUP(D54,'Emissions Factors'!$B$32:$L$55,11,FALSE),0)</f>
        <v>0</v>
      </c>
      <c r="T54" s="161">
        <f t="shared" si="4"/>
        <v>0</v>
      </c>
      <c r="U54" s="121"/>
      <c r="V54" s="418">
        <f t="shared" si="5"/>
        <v>0</v>
      </c>
      <c r="W54" s="418">
        <f t="shared" si="6"/>
        <v>0</v>
      </c>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1"/>
      <c r="BW54" s="121"/>
      <c r="BX54" s="121"/>
      <c r="BY54" s="121"/>
      <c r="BZ54" s="121"/>
      <c r="CA54" s="121"/>
      <c r="CB54" s="121"/>
      <c r="CC54" s="121"/>
      <c r="CD54" s="121"/>
      <c r="CE54" s="121"/>
      <c r="CF54" s="121"/>
      <c r="CG54" s="121"/>
      <c r="CH54" s="121"/>
      <c r="CI54" s="121"/>
      <c r="CJ54" s="121"/>
      <c r="CK54" s="121"/>
      <c r="CL54" s="121"/>
      <c r="CM54" s="121"/>
      <c r="CN54" s="121"/>
      <c r="CO54" s="121"/>
      <c r="CP54" s="121"/>
      <c r="CQ54" s="121"/>
      <c r="CR54" s="121"/>
      <c r="CS54" s="121"/>
      <c r="CT54" s="121"/>
      <c r="CU54" s="121"/>
      <c r="CV54" s="121"/>
      <c r="CW54" s="121"/>
      <c r="CX54" s="121"/>
      <c r="CY54" s="121"/>
      <c r="CZ54" s="121"/>
      <c r="DA54" s="121"/>
      <c r="DB54" s="121"/>
      <c r="DC54" s="121"/>
      <c r="DD54" s="121"/>
    </row>
    <row r="55" spans="1:108" s="21" customFormat="1" ht="13" customHeight="1" x14ac:dyDescent="0.15">
      <c r="A55" s="121"/>
      <c r="B55" s="393"/>
      <c r="C55" s="387"/>
      <c r="D55" s="393"/>
      <c r="E55" s="352"/>
      <c r="F55" s="391"/>
      <c r="G55" s="363"/>
      <c r="H55" s="393"/>
      <c r="I55" s="363"/>
      <c r="J55" s="121"/>
      <c r="K55" s="142">
        <f t="shared" si="1"/>
        <v>0</v>
      </c>
      <c r="L55" s="142">
        <f t="shared" si="2"/>
        <v>0</v>
      </c>
      <c r="M55" s="160">
        <f>IF(D55&gt;0,VLOOKUP(D55,'Emissions Factors'!$B$32:$J$55,7, FALSE),0)</f>
        <v>0</v>
      </c>
      <c r="N55" s="161">
        <f t="shared" si="3"/>
        <v>0</v>
      </c>
      <c r="O55" s="160">
        <f>IF(D55&gt;0,VLOOKUP(D55,'Emissions Factors'!$B$32:$J$55,8, FALSE),0)</f>
        <v>0</v>
      </c>
      <c r="P55" s="145">
        <f>L55*O55*'Emissions Factors'!$C$75/1000</f>
        <v>0</v>
      </c>
      <c r="Q55" s="143">
        <f>IF(D55&gt;0,VLOOKUP(D55,'Emissions Factors'!$B$32:$J$55,9, FALSE),0)</f>
        <v>0</v>
      </c>
      <c r="R55" s="145">
        <f>L55*Q55*'Emissions Factors'!$C$76/1000</f>
        <v>0</v>
      </c>
      <c r="S55" s="143">
        <f>IF(D55&gt;0,VLOOKUP(D55,'Emissions Factors'!$B$32:$L$55,11,FALSE),0)</f>
        <v>0</v>
      </c>
      <c r="T55" s="161">
        <f t="shared" si="4"/>
        <v>0</v>
      </c>
      <c r="U55" s="121"/>
      <c r="V55" s="418">
        <f t="shared" si="5"/>
        <v>0</v>
      </c>
      <c r="W55" s="418">
        <f t="shared" si="6"/>
        <v>0</v>
      </c>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row>
    <row r="56" spans="1:108" s="21" customFormat="1" ht="16" x14ac:dyDescent="0.15">
      <c r="A56" s="121"/>
      <c r="B56" s="158" t="s">
        <v>411</v>
      </c>
      <c r="C56" s="158"/>
      <c r="D56" s="158"/>
      <c r="E56" s="352"/>
      <c r="F56" s="121"/>
      <c r="G56" s="363"/>
      <c r="H56" s="121"/>
      <c r="I56" s="363"/>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row>
    <row r="57" spans="1:108" s="21" customFormat="1" ht="16" x14ac:dyDescent="0.15">
      <c r="A57" s="121"/>
      <c r="B57" s="511" t="s">
        <v>412</v>
      </c>
      <c r="C57" s="511"/>
      <c r="D57" s="511"/>
      <c r="E57" s="511"/>
      <c r="F57" s="121"/>
      <c r="G57" s="121"/>
      <c r="H57" s="121"/>
      <c r="I57" s="363"/>
      <c r="J57" s="121"/>
      <c r="K57" s="2"/>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row>
    <row r="58" spans="1:108" s="21" customFormat="1" x14ac:dyDescent="0.15">
      <c r="A58" s="121"/>
      <c r="B58" s="158" t="s">
        <v>327</v>
      </c>
      <c r="C58" s="158"/>
      <c r="D58" s="238"/>
      <c r="E58" s="238"/>
      <c r="F58" s="121"/>
      <c r="G58" s="121"/>
      <c r="H58" s="121"/>
      <c r="I58" s="121"/>
      <c r="J58" s="121"/>
      <c r="K58" s="2"/>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1"/>
      <c r="CP58" s="121"/>
      <c r="CQ58" s="121"/>
      <c r="CR58" s="121"/>
      <c r="CS58" s="121"/>
      <c r="CT58" s="121"/>
      <c r="CU58" s="121"/>
      <c r="CV58" s="121"/>
      <c r="CW58" s="121"/>
      <c r="CX58" s="121"/>
      <c r="CY58" s="121"/>
      <c r="CZ58" s="121"/>
      <c r="DA58" s="121"/>
      <c r="DB58" s="121"/>
      <c r="DC58" s="121"/>
      <c r="DD58" s="121"/>
    </row>
    <row r="59" spans="1:108" s="21" customFormat="1" x14ac:dyDescent="0.15">
      <c r="A59" s="121"/>
      <c r="B59" s="155"/>
      <c r="C59" s="155"/>
      <c r="D59" s="140"/>
      <c r="E59" s="121"/>
      <c r="F59" s="121"/>
      <c r="G59" s="121"/>
      <c r="H59" s="121"/>
      <c r="I59" s="121"/>
      <c r="J59" s="121"/>
      <c r="K59" s="2"/>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1"/>
      <c r="BR59" s="121"/>
      <c r="BS59" s="121"/>
      <c r="BT59" s="121"/>
      <c r="BU59" s="121"/>
      <c r="BV59" s="121"/>
      <c r="BW59" s="121"/>
      <c r="BX59" s="121"/>
      <c r="BY59" s="121"/>
      <c r="BZ59" s="121"/>
      <c r="CA59" s="121"/>
      <c r="CB59" s="121"/>
      <c r="CC59" s="121"/>
      <c r="CD59" s="121"/>
      <c r="CE59" s="121"/>
      <c r="CF59" s="121"/>
      <c r="CG59" s="121"/>
      <c r="CH59" s="121"/>
      <c r="CI59" s="121"/>
      <c r="CJ59" s="121"/>
      <c r="CK59" s="121"/>
      <c r="CL59" s="121"/>
      <c r="CM59" s="121"/>
      <c r="CN59" s="121"/>
      <c r="CO59" s="121"/>
      <c r="CP59" s="121"/>
      <c r="CQ59" s="121"/>
      <c r="CR59" s="121"/>
      <c r="CS59" s="121"/>
      <c r="CT59" s="121"/>
      <c r="CU59" s="121"/>
      <c r="CV59" s="121"/>
      <c r="CW59" s="121"/>
      <c r="CX59" s="121"/>
      <c r="CY59" s="121"/>
      <c r="CZ59" s="121"/>
      <c r="DA59" s="121"/>
      <c r="DB59" s="121"/>
      <c r="DC59" s="121"/>
      <c r="DD59" s="121"/>
    </row>
    <row r="60" spans="1:108" s="21" customFormat="1" x14ac:dyDescent="0.15">
      <c r="A60" s="121"/>
      <c r="B60" s="155"/>
      <c r="C60" s="155"/>
      <c r="D60" s="140"/>
      <c r="E60" s="121"/>
      <c r="F60" s="121"/>
      <c r="G60" s="121"/>
      <c r="H60" s="121"/>
      <c r="I60" s="121"/>
      <c r="J60" s="121"/>
      <c r="K60" s="2"/>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c r="BJ60" s="121"/>
      <c r="BK60" s="121"/>
      <c r="BL60" s="121"/>
      <c r="BM60" s="121"/>
      <c r="BN60" s="121"/>
      <c r="BO60" s="121"/>
      <c r="BP60" s="121"/>
      <c r="BQ60" s="121"/>
      <c r="BR60" s="121"/>
      <c r="BS60" s="121"/>
      <c r="BT60" s="121"/>
      <c r="BU60" s="121"/>
      <c r="BV60" s="121"/>
      <c r="BW60" s="121"/>
      <c r="BX60" s="121"/>
      <c r="BY60" s="121"/>
      <c r="BZ60" s="121"/>
      <c r="CA60" s="121"/>
      <c r="CB60" s="121"/>
      <c r="CC60" s="121"/>
      <c r="CD60" s="121"/>
      <c r="CE60" s="121"/>
      <c r="CF60" s="121"/>
      <c r="CG60" s="121"/>
      <c r="CH60" s="121"/>
      <c r="CI60" s="121"/>
      <c r="CJ60" s="121"/>
      <c r="CK60" s="121"/>
      <c r="CL60" s="121"/>
      <c r="CM60" s="121"/>
      <c r="CN60" s="121"/>
      <c r="CO60" s="121"/>
      <c r="CP60" s="121"/>
      <c r="CQ60" s="121"/>
      <c r="CR60" s="121"/>
      <c r="CS60" s="121"/>
      <c r="CT60" s="121"/>
      <c r="CU60" s="121"/>
      <c r="CV60" s="121"/>
      <c r="CW60" s="121"/>
      <c r="CX60" s="121"/>
      <c r="CY60" s="121"/>
      <c r="CZ60" s="121"/>
      <c r="DA60" s="121"/>
      <c r="DB60" s="121"/>
      <c r="DC60" s="121"/>
      <c r="DD60" s="121"/>
    </row>
    <row r="61" spans="1:108" s="21" customFormat="1" ht="16" x14ac:dyDescent="0.15">
      <c r="A61" s="121"/>
      <c r="B61" s="353" t="s">
        <v>782</v>
      </c>
      <c r="C61" s="353"/>
      <c r="D61" s="352"/>
      <c r="E61" s="121"/>
      <c r="F61" s="352"/>
      <c r="G61" s="141"/>
      <c r="H61" s="121"/>
      <c r="I61" s="121"/>
      <c r="J61" s="121"/>
      <c r="K61" s="181" t="s">
        <v>699</v>
      </c>
      <c r="L61" s="141"/>
      <c r="M61" s="141"/>
      <c r="N61" s="141"/>
      <c r="O61" s="14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1"/>
      <c r="CA61" s="121"/>
      <c r="CB61" s="121"/>
      <c r="CC61" s="121"/>
      <c r="CD61" s="121"/>
      <c r="CE61" s="121"/>
      <c r="CF61" s="121"/>
      <c r="CG61" s="121"/>
      <c r="CH61" s="121"/>
      <c r="CI61" s="121"/>
      <c r="CJ61" s="121"/>
      <c r="CK61" s="121"/>
      <c r="CL61" s="121"/>
      <c r="CM61" s="121"/>
      <c r="CN61" s="121"/>
      <c r="CO61" s="121"/>
      <c r="CP61" s="121"/>
      <c r="CQ61" s="121"/>
      <c r="CR61" s="121"/>
      <c r="CS61" s="121"/>
      <c r="CT61" s="121"/>
      <c r="CU61" s="121"/>
      <c r="CV61" s="121"/>
      <c r="CW61" s="121"/>
      <c r="CX61" s="121"/>
      <c r="CY61" s="121"/>
      <c r="CZ61" s="121"/>
      <c r="DA61" s="121"/>
      <c r="DB61" s="121"/>
      <c r="DC61" s="121"/>
      <c r="DD61" s="121"/>
    </row>
    <row r="62" spans="1:108" s="21" customFormat="1" ht="30" x14ac:dyDescent="0.2">
      <c r="A62" s="121"/>
      <c r="B62" s="375" t="s">
        <v>733</v>
      </c>
      <c r="C62" s="121"/>
      <c r="D62" s="4" t="s">
        <v>701</v>
      </c>
      <c r="E62" s="121"/>
      <c r="F62" s="158" t="s">
        <v>813</v>
      </c>
      <c r="G62" s="141"/>
      <c r="H62" s="121"/>
      <c r="I62" s="121"/>
      <c r="J62" s="121"/>
      <c r="K62" s="159" t="s">
        <v>723</v>
      </c>
      <c r="L62" s="159" t="s">
        <v>700</v>
      </c>
      <c r="M62" s="159" t="s">
        <v>724</v>
      </c>
      <c r="N62" s="159" t="s">
        <v>732</v>
      </c>
      <c r="O62" s="128" t="s">
        <v>548</v>
      </c>
      <c r="P62" s="121"/>
      <c r="Q62" s="121"/>
      <c r="R62" s="121"/>
      <c r="S62" s="159" t="s">
        <v>812</v>
      </c>
      <c r="T62" s="128" t="s">
        <v>552</v>
      </c>
      <c r="U62" s="121"/>
      <c r="V62" s="128" t="s">
        <v>554</v>
      </c>
      <c r="W62" s="128" t="s">
        <v>552</v>
      </c>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21"/>
      <c r="CI62" s="121"/>
      <c r="CJ62" s="121"/>
      <c r="CK62" s="121"/>
      <c r="CL62" s="121"/>
      <c r="CM62" s="121"/>
      <c r="CN62" s="121"/>
      <c r="CO62" s="121"/>
      <c r="CP62" s="121"/>
      <c r="CQ62" s="121"/>
      <c r="CR62" s="121"/>
      <c r="CS62" s="121"/>
      <c r="CT62" s="121"/>
      <c r="CU62" s="121"/>
      <c r="CV62" s="121"/>
      <c r="CW62" s="121"/>
      <c r="CX62" s="121"/>
      <c r="CY62" s="121"/>
      <c r="CZ62" s="121"/>
      <c r="DA62" s="121"/>
      <c r="DB62" s="121"/>
      <c r="DC62" s="121"/>
      <c r="DD62" s="121"/>
    </row>
    <row r="63" spans="1:108" s="21" customFormat="1" ht="13" x14ac:dyDescent="0.15">
      <c r="A63" s="121"/>
      <c r="B63" s="393"/>
      <c r="C63" s="121"/>
      <c r="D63" s="393"/>
      <c r="E63" s="121"/>
      <c r="F63" s="393"/>
      <c r="G63" s="141"/>
      <c r="H63" s="121"/>
      <c r="I63" s="121"/>
      <c r="J63" s="121"/>
      <c r="K63" s="289">
        <f>IF(D63&gt;0,VLOOKUP(D63,'Emissions Factors'!$B$166:$H$178,5,FALSE),)</f>
        <v>0</v>
      </c>
      <c r="L63" s="371">
        <f t="shared" ref="L63:L70" si="7">F63</f>
        <v>0</v>
      </c>
      <c r="M63" s="372">
        <f>K63*L63</f>
        <v>0</v>
      </c>
      <c r="N63" s="374">
        <f>IF(D63&gt;0,VLOOKUP(D63,'Emissions Factors'!$B$166:$H$178,7,FALSE),0)</f>
        <v>0</v>
      </c>
      <c r="O63" s="373">
        <f>IF(N63&gt;0,M63*N63,0)</f>
        <v>0</v>
      </c>
      <c r="P63" s="121"/>
      <c r="Q63" s="121"/>
      <c r="R63" s="121"/>
      <c r="S63" s="374">
        <f>IF(D63&gt;0,VLOOKUP(D63,'Emissions Factors'!$B$166:$K$178,10,FALSE),0)</f>
        <v>0</v>
      </c>
      <c r="T63" s="373">
        <f t="shared" ref="T63:T70" si="8">IF(S63&gt;0,M63*S63,0)</f>
        <v>0</v>
      </c>
      <c r="U63" s="121"/>
      <c r="V63" s="418">
        <f t="shared" ref="V63:V70" si="9">O63</f>
        <v>0</v>
      </c>
      <c r="W63" s="418">
        <f t="shared" ref="W63:W70" si="10">T63</f>
        <v>0</v>
      </c>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1"/>
      <c r="CC63" s="121"/>
      <c r="CD63" s="121"/>
      <c r="CE63" s="121"/>
      <c r="CF63" s="121"/>
      <c r="CG63" s="121"/>
      <c r="CH63" s="121"/>
      <c r="CI63" s="121"/>
      <c r="CJ63" s="121"/>
      <c r="CK63" s="121"/>
      <c r="CL63" s="121"/>
      <c r="CM63" s="121"/>
      <c r="CN63" s="121"/>
      <c r="CO63" s="121"/>
      <c r="CP63" s="121"/>
      <c r="CQ63" s="121"/>
      <c r="CR63" s="121"/>
      <c r="CS63" s="121"/>
      <c r="CT63" s="121"/>
      <c r="CU63" s="121"/>
      <c r="CV63" s="121"/>
      <c r="CW63" s="121"/>
      <c r="CX63" s="121"/>
      <c r="CY63" s="121"/>
      <c r="CZ63" s="121"/>
      <c r="DA63" s="121"/>
      <c r="DB63" s="121"/>
      <c r="DC63" s="121"/>
      <c r="DD63" s="121"/>
    </row>
    <row r="64" spans="1:108" s="21" customFormat="1" ht="13" x14ac:dyDescent="0.15">
      <c r="A64" s="121"/>
      <c r="B64" s="393"/>
      <c r="C64" s="121"/>
      <c r="D64" s="393"/>
      <c r="E64" s="121"/>
      <c r="F64" s="393"/>
      <c r="G64" s="141"/>
      <c r="H64" s="121"/>
      <c r="I64" s="121"/>
      <c r="J64" s="121"/>
      <c r="K64" s="289">
        <f>IF(D64&gt;0,VLOOKUP(D64,'Emissions Factors'!$B$166:$H$178,5,FALSE),)</f>
        <v>0</v>
      </c>
      <c r="L64" s="371">
        <f t="shared" si="7"/>
        <v>0</v>
      </c>
      <c r="M64" s="372">
        <f t="shared" ref="M64:M81" si="11">K64*L64</f>
        <v>0</v>
      </c>
      <c r="N64" s="374">
        <f>IF(D64&gt;0,VLOOKUP(D64,'Emissions Factors'!$B$166:$H$178,7,FALSE),0)</f>
        <v>0</v>
      </c>
      <c r="O64" s="373">
        <f t="shared" ref="O64:O70" si="12">M64*N64</f>
        <v>0</v>
      </c>
      <c r="P64" s="121"/>
      <c r="Q64" s="121"/>
      <c r="R64" s="121"/>
      <c r="S64" s="374">
        <f>IF(D64&gt;0,VLOOKUP(D64,'Emissions Factors'!$B$166:$K$178,10,FALSE),0)</f>
        <v>0</v>
      </c>
      <c r="T64" s="373">
        <f t="shared" si="8"/>
        <v>0</v>
      </c>
      <c r="U64" s="121"/>
      <c r="V64" s="418">
        <f t="shared" si="9"/>
        <v>0</v>
      </c>
      <c r="W64" s="418">
        <f t="shared" si="10"/>
        <v>0</v>
      </c>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c r="CQ64" s="121"/>
      <c r="CR64" s="121"/>
      <c r="CS64" s="121"/>
      <c r="CT64" s="121"/>
      <c r="CU64" s="121"/>
      <c r="CV64" s="121"/>
      <c r="CW64" s="121"/>
      <c r="CX64" s="121"/>
      <c r="CY64" s="121"/>
      <c r="CZ64" s="121"/>
      <c r="DA64" s="121"/>
      <c r="DB64" s="121"/>
      <c r="DC64" s="121"/>
      <c r="DD64" s="121"/>
    </row>
    <row r="65" spans="1:108" s="21" customFormat="1" ht="13" x14ac:dyDescent="0.15">
      <c r="A65" s="121"/>
      <c r="B65" s="393"/>
      <c r="C65" s="121"/>
      <c r="D65" s="393"/>
      <c r="E65" s="121"/>
      <c r="F65" s="393"/>
      <c r="G65" s="141"/>
      <c r="H65" s="121"/>
      <c r="I65" s="121"/>
      <c r="J65" s="121"/>
      <c r="K65" s="289">
        <f>IF(D65&gt;0,VLOOKUP(D65,'Emissions Factors'!$B$166:$H$178,5,FALSE),)</f>
        <v>0</v>
      </c>
      <c r="L65" s="371">
        <f t="shared" si="7"/>
        <v>0</v>
      </c>
      <c r="M65" s="372">
        <f t="shared" si="11"/>
        <v>0</v>
      </c>
      <c r="N65" s="374">
        <f>IF(D65&gt;0,VLOOKUP(D65,'Emissions Factors'!$B$166:$H$178,7,FALSE),0)</f>
        <v>0</v>
      </c>
      <c r="O65" s="373">
        <f t="shared" si="12"/>
        <v>0</v>
      </c>
      <c r="P65" s="121"/>
      <c r="Q65" s="121"/>
      <c r="R65" s="121"/>
      <c r="S65" s="374">
        <f>IF(D65&gt;0,VLOOKUP(D65,'Emissions Factors'!$B$166:$K$178,10,FALSE),0)</f>
        <v>0</v>
      </c>
      <c r="T65" s="373">
        <f t="shared" si="8"/>
        <v>0</v>
      </c>
      <c r="U65" s="121"/>
      <c r="V65" s="418">
        <f t="shared" si="9"/>
        <v>0</v>
      </c>
      <c r="W65" s="418">
        <f t="shared" si="10"/>
        <v>0</v>
      </c>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1"/>
      <c r="BU65" s="121"/>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row>
    <row r="66" spans="1:108" s="21" customFormat="1" ht="13" x14ac:dyDescent="0.15">
      <c r="A66" s="121"/>
      <c r="B66" s="393"/>
      <c r="C66" s="121"/>
      <c r="D66" s="393"/>
      <c r="E66" s="121"/>
      <c r="F66" s="393"/>
      <c r="G66" s="141"/>
      <c r="H66" s="121"/>
      <c r="I66" s="121"/>
      <c r="J66" s="121"/>
      <c r="K66" s="289">
        <f>IF(D66&gt;0,VLOOKUP(D66,'Emissions Factors'!$B$166:$H$178,5,FALSE),)</f>
        <v>0</v>
      </c>
      <c r="L66" s="371">
        <f t="shared" si="7"/>
        <v>0</v>
      </c>
      <c r="M66" s="372">
        <f t="shared" si="11"/>
        <v>0</v>
      </c>
      <c r="N66" s="374">
        <f>IF(D66&gt;0,VLOOKUP(D66,'Emissions Factors'!$B$166:$H$178,7,FALSE),0)</f>
        <v>0</v>
      </c>
      <c r="O66" s="373">
        <f t="shared" si="12"/>
        <v>0</v>
      </c>
      <c r="P66" s="121"/>
      <c r="Q66" s="121"/>
      <c r="R66" s="121"/>
      <c r="S66" s="374">
        <f>IF(D66&gt;0,VLOOKUP(D66,'Emissions Factors'!$B$166:$K$178,10,FALSE),0)</f>
        <v>0</v>
      </c>
      <c r="T66" s="373">
        <f t="shared" si="8"/>
        <v>0</v>
      </c>
      <c r="U66" s="121"/>
      <c r="V66" s="418">
        <f t="shared" si="9"/>
        <v>0</v>
      </c>
      <c r="W66" s="418">
        <f t="shared" si="10"/>
        <v>0</v>
      </c>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1"/>
      <c r="BR66" s="121"/>
      <c r="BS66" s="121"/>
      <c r="BT66" s="121"/>
      <c r="BU66" s="121"/>
      <c r="BV66" s="121"/>
      <c r="BW66" s="121"/>
      <c r="BX66" s="121"/>
      <c r="BY66" s="121"/>
      <c r="BZ66" s="121"/>
      <c r="CA66" s="121"/>
      <c r="CB66" s="121"/>
      <c r="CC66" s="121"/>
      <c r="CD66" s="121"/>
      <c r="CE66" s="121"/>
      <c r="CF66" s="121"/>
      <c r="CG66" s="121"/>
      <c r="CH66" s="121"/>
      <c r="CI66" s="121"/>
      <c r="CJ66" s="121"/>
      <c r="CK66" s="121"/>
      <c r="CL66" s="121"/>
      <c r="CM66" s="121"/>
      <c r="CN66" s="121"/>
      <c r="CO66" s="121"/>
      <c r="CP66" s="121"/>
      <c r="CQ66" s="121"/>
      <c r="CR66" s="121"/>
      <c r="CS66" s="121"/>
      <c r="CT66" s="121"/>
      <c r="CU66" s="121"/>
      <c r="CV66" s="121"/>
      <c r="CW66" s="121"/>
      <c r="CX66" s="121"/>
      <c r="CY66" s="121"/>
      <c r="CZ66" s="121"/>
      <c r="DA66" s="121"/>
      <c r="DB66" s="121"/>
      <c r="DC66" s="121"/>
      <c r="DD66" s="121"/>
    </row>
    <row r="67" spans="1:108" s="21" customFormat="1" ht="13" x14ac:dyDescent="0.15">
      <c r="A67" s="121"/>
      <c r="B67" s="393"/>
      <c r="C67" s="121"/>
      <c r="D67" s="393"/>
      <c r="E67" s="121"/>
      <c r="F67" s="393"/>
      <c r="G67" s="141"/>
      <c r="H67" s="121"/>
      <c r="I67" s="121"/>
      <c r="J67" s="121"/>
      <c r="K67" s="289">
        <f>IF(D67&gt;0,VLOOKUP(D67,'Emissions Factors'!$B$166:$H$178,5,FALSE),)</f>
        <v>0</v>
      </c>
      <c r="L67" s="371">
        <f t="shared" si="7"/>
        <v>0</v>
      </c>
      <c r="M67" s="372">
        <f t="shared" si="11"/>
        <v>0</v>
      </c>
      <c r="N67" s="374">
        <f>IF(D67&gt;0,VLOOKUP(D67,'Emissions Factors'!$B$166:$H$178,7,FALSE),0)</f>
        <v>0</v>
      </c>
      <c r="O67" s="373">
        <f t="shared" si="12"/>
        <v>0</v>
      </c>
      <c r="P67" s="121"/>
      <c r="Q67" s="121"/>
      <c r="R67" s="121"/>
      <c r="S67" s="374">
        <f>IF(D67&gt;0,VLOOKUP(D67,'Emissions Factors'!$B$166:$K$178,10,FALSE),0)</f>
        <v>0</v>
      </c>
      <c r="T67" s="373">
        <f t="shared" si="8"/>
        <v>0</v>
      </c>
      <c r="U67" s="121"/>
      <c r="V67" s="418">
        <f t="shared" si="9"/>
        <v>0</v>
      </c>
      <c r="W67" s="418">
        <f t="shared" si="10"/>
        <v>0</v>
      </c>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row>
    <row r="68" spans="1:108" s="21" customFormat="1" ht="13" x14ac:dyDescent="0.15">
      <c r="A68" s="121"/>
      <c r="B68" s="393"/>
      <c r="C68" s="121"/>
      <c r="D68" s="393"/>
      <c r="E68" s="121"/>
      <c r="F68" s="393"/>
      <c r="G68" s="141"/>
      <c r="H68" s="121"/>
      <c r="I68" s="121"/>
      <c r="J68" s="121"/>
      <c r="K68" s="289">
        <f>IF(D68&gt;0,VLOOKUP(D68,'Emissions Factors'!$B$166:$H$178,5,FALSE),)</f>
        <v>0</v>
      </c>
      <c r="L68" s="371">
        <f t="shared" si="7"/>
        <v>0</v>
      </c>
      <c r="M68" s="372">
        <f t="shared" si="11"/>
        <v>0</v>
      </c>
      <c r="N68" s="374">
        <f>IF(D68&gt;0,VLOOKUP(D68,'Emissions Factors'!$B$166:$H$178,7,FALSE),0)</f>
        <v>0</v>
      </c>
      <c r="O68" s="373">
        <f t="shared" si="12"/>
        <v>0</v>
      </c>
      <c r="P68" s="121"/>
      <c r="Q68" s="121"/>
      <c r="R68" s="121"/>
      <c r="S68" s="374">
        <f>IF(D68&gt;0,VLOOKUP(D68,'Emissions Factors'!$B$166:$K$178,10,FALSE),0)</f>
        <v>0</v>
      </c>
      <c r="T68" s="373">
        <f t="shared" si="8"/>
        <v>0</v>
      </c>
      <c r="U68" s="121"/>
      <c r="V68" s="418">
        <f t="shared" si="9"/>
        <v>0</v>
      </c>
      <c r="W68" s="418">
        <f t="shared" si="10"/>
        <v>0</v>
      </c>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c r="BJ68" s="121"/>
      <c r="BK68" s="121"/>
      <c r="BL68" s="121"/>
      <c r="BM68" s="121"/>
      <c r="BN68" s="121"/>
      <c r="BO68" s="121"/>
      <c r="BP68" s="121"/>
      <c r="BQ68" s="121"/>
      <c r="BR68" s="121"/>
      <c r="BS68" s="121"/>
      <c r="BT68" s="121"/>
      <c r="BU68" s="121"/>
      <c r="BV68" s="121"/>
      <c r="BW68" s="121"/>
      <c r="BX68" s="121"/>
      <c r="BY68" s="121"/>
      <c r="BZ68" s="121"/>
      <c r="CA68" s="121"/>
      <c r="CB68" s="121"/>
      <c r="CC68" s="121"/>
      <c r="CD68" s="121"/>
      <c r="CE68" s="121"/>
      <c r="CF68" s="121"/>
      <c r="CG68" s="121"/>
      <c r="CH68" s="121"/>
      <c r="CI68" s="121"/>
      <c r="CJ68" s="121"/>
      <c r="CK68" s="121"/>
      <c r="CL68" s="121"/>
      <c r="CM68" s="121"/>
      <c r="CN68" s="121"/>
      <c r="CO68" s="121"/>
      <c r="CP68" s="121"/>
      <c r="CQ68" s="121"/>
      <c r="CR68" s="121"/>
      <c r="CS68" s="121"/>
      <c r="CT68" s="121"/>
      <c r="CU68" s="121"/>
      <c r="CV68" s="121"/>
      <c r="CW68" s="121"/>
      <c r="CX68" s="121"/>
      <c r="CY68" s="121"/>
      <c r="CZ68" s="121"/>
      <c r="DA68" s="121"/>
      <c r="DB68" s="121"/>
      <c r="DC68" s="121"/>
      <c r="DD68" s="121"/>
    </row>
    <row r="69" spans="1:108" s="21" customFormat="1" ht="13" x14ac:dyDescent="0.15">
      <c r="A69" s="121"/>
      <c r="B69" s="393"/>
      <c r="C69" s="121"/>
      <c r="D69" s="393"/>
      <c r="E69" s="121"/>
      <c r="F69" s="393"/>
      <c r="G69" s="141"/>
      <c r="H69" s="121"/>
      <c r="I69" s="121"/>
      <c r="J69" s="121"/>
      <c r="K69" s="289">
        <f>IF(D69&gt;0,VLOOKUP(D69,'Emissions Factors'!$B$166:$H$178,5,FALSE),)</f>
        <v>0</v>
      </c>
      <c r="L69" s="371">
        <f t="shared" si="7"/>
        <v>0</v>
      </c>
      <c r="M69" s="372">
        <f t="shared" si="11"/>
        <v>0</v>
      </c>
      <c r="N69" s="374">
        <f>IF(D69&gt;0,VLOOKUP(D69,'Emissions Factors'!$B$166:$H$178,7,FALSE),0)</f>
        <v>0</v>
      </c>
      <c r="O69" s="373">
        <f t="shared" si="12"/>
        <v>0</v>
      </c>
      <c r="P69" s="121"/>
      <c r="Q69" s="121"/>
      <c r="R69" s="121"/>
      <c r="S69" s="374">
        <f>IF(D69&gt;0,VLOOKUP(D69,'Emissions Factors'!$B$166:$K$178,10,FALSE),0)</f>
        <v>0</v>
      </c>
      <c r="T69" s="373">
        <f t="shared" si="8"/>
        <v>0</v>
      </c>
      <c r="U69" s="121"/>
      <c r="V69" s="418">
        <f t="shared" si="9"/>
        <v>0</v>
      </c>
      <c r="W69" s="418">
        <f t="shared" si="10"/>
        <v>0</v>
      </c>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1"/>
      <c r="CC69" s="121"/>
      <c r="CD69" s="121"/>
      <c r="CE69" s="121"/>
      <c r="CF69" s="121"/>
      <c r="CG69" s="121"/>
      <c r="CH69" s="121"/>
      <c r="CI69" s="121"/>
      <c r="CJ69" s="121"/>
      <c r="CK69" s="121"/>
      <c r="CL69" s="121"/>
      <c r="CM69" s="121"/>
      <c r="CN69" s="121"/>
      <c r="CO69" s="121"/>
      <c r="CP69" s="121"/>
      <c r="CQ69" s="121"/>
      <c r="CR69" s="121"/>
      <c r="CS69" s="121"/>
      <c r="CT69" s="121"/>
      <c r="CU69" s="121"/>
      <c r="CV69" s="121"/>
      <c r="CW69" s="121"/>
      <c r="CX69" s="121"/>
      <c r="CY69" s="121"/>
      <c r="CZ69" s="121"/>
      <c r="DA69" s="121"/>
      <c r="DB69" s="121"/>
      <c r="DC69" s="121"/>
      <c r="DD69" s="121"/>
    </row>
    <row r="70" spans="1:108" s="21" customFormat="1" ht="13" x14ac:dyDescent="0.15">
      <c r="A70" s="121"/>
      <c r="B70" s="393"/>
      <c r="C70" s="121"/>
      <c r="D70" s="393"/>
      <c r="E70" s="121"/>
      <c r="F70" s="393"/>
      <c r="G70" s="141"/>
      <c r="H70" s="121"/>
      <c r="I70" s="121"/>
      <c r="J70" s="121"/>
      <c r="K70" s="289">
        <f>IF(D70&gt;0,VLOOKUP(D70,'Emissions Factors'!$B$166:$H$178,5,FALSE),)</f>
        <v>0</v>
      </c>
      <c r="L70" s="371">
        <f t="shared" si="7"/>
        <v>0</v>
      </c>
      <c r="M70" s="372">
        <f t="shared" si="11"/>
        <v>0</v>
      </c>
      <c r="N70" s="374">
        <f>IF(D70&gt;0,VLOOKUP(D70,'Emissions Factors'!$B$166:$H$178,7,FALSE),0)</f>
        <v>0</v>
      </c>
      <c r="O70" s="373">
        <f t="shared" si="12"/>
        <v>0</v>
      </c>
      <c r="P70" s="121"/>
      <c r="Q70" s="121"/>
      <c r="R70" s="121"/>
      <c r="S70" s="374">
        <f>IF(D70&gt;0,VLOOKUP(D70,'Emissions Factors'!$B$166:$K$178,10,FALSE),0)</f>
        <v>0</v>
      </c>
      <c r="T70" s="373">
        <f t="shared" si="8"/>
        <v>0</v>
      </c>
      <c r="U70" s="121"/>
      <c r="V70" s="418">
        <f t="shared" si="9"/>
        <v>0</v>
      </c>
      <c r="W70" s="418">
        <f t="shared" si="10"/>
        <v>0</v>
      </c>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1"/>
      <c r="BR70" s="121"/>
      <c r="BS70" s="121"/>
      <c r="BT70" s="121"/>
      <c r="BU70" s="121"/>
      <c r="BV70" s="121"/>
      <c r="BW70" s="121"/>
      <c r="BX70" s="121"/>
      <c r="BY70" s="121"/>
      <c r="BZ70" s="121"/>
      <c r="CA70" s="121"/>
      <c r="CB70" s="121"/>
      <c r="CC70" s="121"/>
      <c r="CD70" s="121"/>
      <c r="CE70" s="121"/>
      <c r="CF70" s="121"/>
      <c r="CG70" s="121"/>
      <c r="CH70" s="121"/>
      <c r="CI70" s="121"/>
      <c r="CJ70" s="121"/>
      <c r="CK70" s="121"/>
      <c r="CL70" s="121"/>
      <c r="CM70" s="121"/>
      <c r="CN70" s="121"/>
      <c r="CO70" s="121"/>
      <c r="CP70" s="121"/>
      <c r="CQ70" s="121"/>
      <c r="CR70" s="121"/>
      <c r="CS70" s="121"/>
      <c r="CT70" s="121"/>
      <c r="CU70" s="121"/>
      <c r="CV70" s="121"/>
      <c r="CW70" s="121"/>
      <c r="CX70" s="121"/>
      <c r="CY70" s="121"/>
      <c r="CZ70" s="121"/>
      <c r="DA70" s="121"/>
      <c r="DB70" s="121"/>
      <c r="DC70" s="121"/>
      <c r="DD70" s="121"/>
    </row>
    <row r="71" spans="1:108" s="21" customFormat="1" ht="13" x14ac:dyDescent="0.15">
      <c r="A71" s="121"/>
      <c r="B71" s="121"/>
      <c r="C71" s="121"/>
      <c r="D71" s="121"/>
      <c r="E71" s="121"/>
      <c r="F71" s="121"/>
      <c r="G71" s="141"/>
      <c r="H71" s="121"/>
      <c r="I71" s="121"/>
      <c r="J71" s="121"/>
      <c r="K71" s="419"/>
      <c r="L71" s="420"/>
      <c r="M71" s="421"/>
      <c r="N71" s="422"/>
      <c r="O71" s="423"/>
      <c r="P71" s="121"/>
      <c r="Q71" s="121"/>
      <c r="R71" s="121"/>
      <c r="S71" s="422"/>
      <c r="T71" s="423"/>
      <c r="U71" s="121"/>
      <c r="V71" s="418"/>
      <c r="W71" s="418"/>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1"/>
      <c r="BP71" s="121"/>
      <c r="BQ71" s="121"/>
      <c r="BR71" s="121"/>
      <c r="BS71" s="121"/>
      <c r="BT71" s="121"/>
      <c r="BU71" s="121"/>
      <c r="BV71" s="121"/>
      <c r="BW71" s="121"/>
      <c r="BX71" s="121"/>
      <c r="BY71" s="121"/>
      <c r="BZ71" s="121"/>
      <c r="CA71" s="121"/>
      <c r="CB71" s="121"/>
      <c r="CC71" s="121"/>
      <c r="CD71" s="121"/>
      <c r="CE71" s="121"/>
      <c r="CF71" s="121"/>
      <c r="CG71" s="121"/>
      <c r="CH71" s="121"/>
      <c r="CI71" s="121"/>
      <c r="CJ71" s="121"/>
      <c r="CK71" s="121"/>
      <c r="CL71" s="121"/>
      <c r="CM71" s="121"/>
      <c r="CN71" s="121"/>
      <c r="CO71" s="121"/>
      <c r="CP71" s="121"/>
      <c r="CQ71" s="121"/>
      <c r="CR71" s="121"/>
      <c r="CS71" s="121"/>
      <c r="CT71" s="121"/>
      <c r="CU71" s="121"/>
      <c r="CV71" s="121"/>
      <c r="CW71" s="121"/>
      <c r="CX71" s="121"/>
      <c r="CY71" s="121"/>
      <c r="CZ71" s="121"/>
      <c r="DA71" s="121"/>
      <c r="DB71" s="121"/>
      <c r="DC71" s="121"/>
      <c r="DD71" s="121"/>
    </row>
    <row r="72" spans="1:108" s="199" customFormat="1" ht="28" x14ac:dyDescent="0.15">
      <c r="A72" s="198"/>
      <c r="B72" s="437" t="s">
        <v>844</v>
      </c>
      <c r="C72" s="198"/>
      <c r="D72" s="4" t="s">
        <v>701</v>
      </c>
      <c r="E72" s="121"/>
      <c r="F72" s="158" t="s">
        <v>813</v>
      </c>
      <c r="G72" s="281"/>
      <c r="H72" s="198"/>
      <c r="I72" s="198"/>
      <c r="J72" s="198"/>
      <c r="K72" s="434"/>
      <c r="L72" s="198"/>
      <c r="M72" s="435"/>
      <c r="N72" s="198"/>
      <c r="O72" s="198"/>
      <c r="P72" s="198"/>
      <c r="Q72" s="198"/>
      <c r="R72" s="198"/>
      <c r="S72" s="198"/>
      <c r="T72" s="198"/>
      <c r="U72" s="198"/>
      <c r="V72" s="436"/>
      <c r="W72" s="436"/>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row>
    <row r="73" spans="1:108" s="21" customFormat="1" ht="13" x14ac:dyDescent="0.15">
      <c r="A73" s="121"/>
      <c r="B73" s="393"/>
      <c r="C73" s="121"/>
      <c r="D73" s="393"/>
      <c r="E73" s="121"/>
      <c r="F73" s="393"/>
      <c r="G73" s="141"/>
      <c r="H73" s="121"/>
      <c r="I73" s="121"/>
      <c r="J73" s="121"/>
      <c r="K73" s="289">
        <f>IF(D73&gt;0,VLOOKUP(D73,'Emissions Factors'!$B$166:$H$178,2,FALSE),0)</f>
        <v>0</v>
      </c>
      <c r="L73" s="371">
        <f t="shared" ref="L73:L81" si="13">F73</f>
        <v>0</v>
      </c>
      <c r="M73" s="372">
        <f t="shared" si="11"/>
        <v>0</v>
      </c>
      <c r="N73" s="416">
        <f>IF(D73&gt;0,VLOOKUP(D73,'Emissions Factors'!$B$166:$H$178,4,FALSE),0)</f>
        <v>0</v>
      </c>
      <c r="O73" s="373">
        <f>M73*N73</f>
        <v>0</v>
      </c>
      <c r="P73" s="121"/>
      <c r="Q73" s="121"/>
      <c r="R73" s="121"/>
      <c r="S73" s="374">
        <f>IF(D73&gt;0,VLOOKUP(D73,'Emissions Factors'!$B$166:$K$178,9,FALSE),0)</f>
        <v>0</v>
      </c>
      <c r="T73" s="373">
        <f t="shared" ref="T73:T81" si="14">IF(S73&gt;0,M73*S73,0)</f>
        <v>0</v>
      </c>
      <c r="U73" s="121"/>
      <c r="V73" s="418">
        <f t="shared" ref="V73:V81" si="15">O73</f>
        <v>0</v>
      </c>
      <c r="W73" s="418">
        <f t="shared" ref="W73:W81" si="16">T73</f>
        <v>0</v>
      </c>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1"/>
      <c r="BU73" s="121"/>
      <c r="BV73" s="121"/>
      <c r="BW73" s="121"/>
      <c r="BX73" s="121"/>
      <c r="BY73" s="121"/>
      <c r="BZ73" s="121"/>
      <c r="CA73" s="121"/>
      <c r="CB73" s="121"/>
      <c r="CC73" s="121"/>
      <c r="CD73" s="121"/>
      <c r="CE73" s="121"/>
      <c r="CF73" s="121"/>
      <c r="CG73" s="121"/>
      <c r="CH73" s="121"/>
      <c r="CI73" s="121"/>
      <c r="CJ73" s="121"/>
      <c r="CK73" s="121"/>
      <c r="CL73" s="121"/>
      <c r="CM73" s="121"/>
      <c r="CN73" s="121"/>
      <c r="CO73" s="121"/>
      <c r="CP73" s="121"/>
      <c r="CQ73" s="121"/>
      <c r="CR73" s="121"/>
      <c r="CS73" s="121"/>
      <c r="CT73" s="121"/>
      <c r="CU73" s="121"/>
      <c r="CV73" s="121"/>
      <c r="CW73" s="121"/>
      <c r="CX73" s="121"/>
      <c r="CY73" s="121"/>
      <c r="CZ73" s="121"/>
      <c r="DA73" s="121"/>
      <c r="DB73" s="121"/>
      <c r="DC73" s="121"/>
      <c r="DD73" s="121"/>
    </row>
    <row r="74" spans="1:108" s="21" customFormat="1" ht="13" x14ac:dyDescent="0.15">
      <c r="A74" s="121"/>
      <c r="B74" s="393"/>
      <c r="C74" s="121"/>
      <c r="D74" s="393"/>
      <c r="E74" s="121"/>
      <c r="F74" s="393"/>
      <c r="G74" s="141"/>
      <c r="H74" s="121"/>
      <c r="I74" s="121"/>
      <c r="J74" s="121"/>
      <c r="K74" s="289">
        <f>IF(D74&gt;0,VLOOKUP(D74,'Emissions Factors'!$B$166:$H$178,2,FALSE),0)</f>
        <v>0</v>
      </c>
      <c r="L74" s="371">
        <f t="shared" si="13"/>
        <v>0</v>
      </c>
      <c r="M74" s="372">
        <f t="shared" si="11"/>
        <v>0</v>
      </c>
      <c r="N74" s="416">
        <f>IF(D74&gt;0,VLOOKUP(D74,'Emissions Factors'!$B$166:$H$178,4,FALSE),0)</f>
        <v>0</v>
      </c>
      <c r="O74" s="373">
        <f t="shared" ref="O74:O81" si="17">M74*N74</f>
        <v>0</v>
      </c>
      <c r="P74" s="121"/>
      <c r="Q74" s="121"/>
      <c r="R74" s="121"/>
      <c r="S74" s="374">
        <f>IF(D74&gt;0,VLOOKUP(D74,'Emissions Factors'!$B$166:$K$178,9,FALSE),0)</f>
        <v>0</v>
      </c>
      <c r="T74" s="373">
        <f t="shared" si="14"/>
        <v>0</v>
      </c>
      <c r="U74" s="121"/>
      <c r="V74" s="418">
        <f t="shared" si="15"/>
        <v>0</v>
      </c>
      <c r="W74" s="418">
        <f t="shared" si="16"/>
        <v>0</v>
      </c>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1"/>
      <c r="BK74" s="121"/>
      <c r="BL74" s="121"/>
      <c r="BM74" s="121"/>
      <c r="BN74" s="121"/>
      <c r="BO74" s="121"/>
      <c r="BP74" s="121"/>
      <c r="BQ74" s="121"/>
      <c r="BR74" s="121"/>
      <c r="BS74" s="121"/>
      <c r="BT74" s="121"/>
      <c r="BU74" s="121"/>
      <c r="BV74" s="121"/>
      <c r="BW74" s="121"/>
      <c r="BX74" s="121"/>
      <c r="BY74" s="121"/>
      <c r="BZ74" s="121"/>
      <c r="CA74" s="121"/>
      <c r="CB74" s="121"/>
      <c r="CC74" s="121"/>
      <c r="CD74" s="121"/>
      <c r="CE74" s="121"/>
      <c r="CF74" s="121"/>
      <c r="CG74" s="121"/>
      <c r="CH74" s="121"/>
      <c r="CI74" s="121"/>
      <c r="CJ74" s="121"/>
      <c r="CK74" s="121"/>
      <c r="CL74" s="121"/>
      <c r="CM74" s="121"/>
      <c r="CN74" s="121"/>
      <c r="CO74" s="121"/>
      <c r="CP74" s="121"/>
      <c r="CQ74" s="121"/>
      <c r="CR74" s="121"/>
      <c r="CS74" s="121"/>
      <c r="CT74" s="121"/>
      <c r="CU74" s="121"/>
      <c r="CV74" s="121"/>
      <c r="CW74" s="121"/>
      <c r="CX74" s="121"/>
      <c r="CY74" s="121"/>
      <c r="CZ74" s="121"/>
      <c r="DA74" s="121"/>
      <c r="DB74" s="121"/>
      <c r="DC74" s="121"/>
      <c r="DD74" s="121"/>
    </row>
    <row r="75" spans="1:108" s="21" customFormat="1" ht="13" x14ac:dyDescent="0.15">
      <c r="A75" s="121"/>
      <c r="B75" s="393"/>
      <c r="C75" s="121"/>
      <c r="D75" s="393"/>
      <c r="E75" s="121"/>
      <c r="F75" s="393"/>
      <c r="G75" s="141"/>
      <c r="H75" s="121"/>
      <c r="I75" s="121"/>
      <c r="J75" s="121"/>
      <c r="K75" s="289">
        <f>IF(D75&gt;0,VLOOKUP(D75,'Emissions Factors'!$B$166:$H$178,2,FALSE),0)</f>
        <v>0</v>
      </c>
      <c r="L75" s="371">
        <f t="shared" si="13"/>
        <v>0</v>
      </c>
      <c r="M75" s="372">
        <f t="shared" si="11"/>
        <v>0</v>
      </c>
      <c r="N75" s="416">
        <f>IF(D75&gt;0,VLOOKUP(D75,'Emissions Factors'!$B$166:$H$178,4,FALSE),0)</f>
        <v>0</v>
      </c>
      <c r="O75" s="373">
        <f t="shared" si="17"/>
        <v>0</v>
      </c>
      <c r="P75" s="121"/>
      <c r="Q75" s="121"/>
      <c r="R75" s="121"/>
      <c r="S75" s="374">
        <f>IF(D75&gt;0,VLOOKUP(D75,'Emissions Factors'!$B$166:$K$178,9,FALSE),0)</f>
        <v>0</v>
      </c>
      <c r="T75" s="373">
        <f t="shared" si="14"/>
        <v>0</v>
      </c>
      <c r="U75" s="121"/>
      <c r="V75" s="418">
        <f t="shared" si="15"/>
        <v>0</v>
      </c>
      <c r="W75" s="418">
        <f t="shared" si="16"/>
        <v>0</v>
      </c>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row>
    <row r="76" spans="1:108" s="21" customFormat="1" ht="13" x14ac:dyDescent="0.15">
      <c r="A76" s="121"/>
      <c r="B76" s="393"/>
      <c r="C76" s="121"/>
      <c r="D76" s="393"/>
      <c r="E76" s="121"/>
      <c r="F76" s="393"/>
      <c r="G76" s="141"/>
      <c r="H76" s="121"/>
      <c r="I76" s="121"/>
      <c r="J76" s="121"/>
      <c r="K76" s="289">
        <f>IF(D76&gt;0,VLOOKUP(D76,'Emissions Factors'!$B$166:$H$178,2,FALSE),0)</f>
        <v>0</v>
      </c>
      <c r="L76" s="371">
        <f t="shared" si="13"/>
        <v>0</v>
      </c>
      <c r="M76" s="372">
        <f t="shared" si="11"/>
        <v>0</v>
      </c>
      <c r="N76" s="416">
        <f>IF(D76&gt;0,VLOOKUP(D76,'Emissions Factors'!$B$166:$H$178,4,FALSE),0)</f>
        <v>0</v>
      </c>
      <c r="O76" s="373">
        <f t="shared" si="17"/>
        <v>0</v>
      </c>
      <c r="P76" s="121"/>
      <c r="Q76" s="121"/>
      <c r="R76" s="121"/>
      <c r="S76" s="374">
        <f>IF(D76&gt;0,VLOOKUP(D76,'Emissions Factors'!$B$166:$K$178,9,FALSE),0)</f>
        <v>0</v>
      </c>
      <c r="T76" s="373">
        <f t="shared" si="14"/>
        <v>0</v>
      </c>
      <c r="U76" s="121"/>
      <c r="V76" s="418">
        <f t="shared" si="15"/>
        <v>0</v>
      </c>
      <c r="W76" s="418">
        <f t="shared" si="16"/>
        <v>0</v>
      </c>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1"/>
      <c r="BQ76" s="121"/>
      <c r="BR76" s="121"/>
      <c r="BS76" s="121"/>
      <c r="BT76" s="121"/>
      <c r="BU76" s="121"/>
      <c r="BV76" s="121"/>
      <c r="BW76" s="121"/>
      <c r="BX76" s="121"/>
      <c r="BY76" s="121"/>
      <c r="BZ76" s="121"/>
      <c r="CA76" s="121"/>
      <c r="CB76" s="121"/>
      <c r="CC76" s="121"/>
      <c r="CD76" s="121"/>
      <c r="CE76" s="121"/>
      <c r="CF76" s="121"/>
      <c r="CG76" s="121"/>
      <c r="CH76" s="121"/>
      <c r="CI76" s="121"/>
      <c r="CJ76" s="121"/>
      <c r="CK76" s="121"/>
      <c r="CL76" s="121"/>
      <c r="CM76" s="121"/>
      <c r="CN76" s="121"/>
      <c r="CO76" s="121"/>
      <c r="CP76" s="121"/>
      <c r="CQ76" s="121"/>
      <c r="CR76" s="121"/>
      <c r="CS76" s="121"/>
      <c r="CT76" s="121"/>
      <c r="CU76" s="121"/>
      <c r="CV76" s="121"/>
      <c r="CW76" s="121"/>
      <c r="CX76" s="121"/>
      <c r="CY76" s="121"/>
      <c r="CZ76" s="121"/>
      <c r="DA76" s="121"/>
      <c r="DB76" s="121"/>
      <c r="DC76" s="121"/>
      <c r="DD76" s="121"/>
    </row>
    <row r="77" spans="1:108" s="21" customFormat="1" ht="13" x14ac:dyDescent="0.15">
      <c r="A77" s="121"/>
      <c r="B77" s="393"/>
      <c r="C77" s="121"/>
      <c r="D77" s="393"/>
      <c r="E77" s="121"/>
      <c r="F77" s="393"/>
      <c r="G77" s="141"/>
      <c r="H77" s="121"/>
      <c r="I77" s="121"/>
      <c r="J77" s="121"/>
      <c r="K77" s="289">
        <f>IF(D77&gt;0,VLOOKUP(D77,'Emissions Factors'!$B$166:$H$178,2,FALSE),0)</f>
        <v>0</v>
      </c>
      <c r="L77" s="371">
        <f t="shared" si="13"/>
        <v>0</v>
      </c>
      <c r="M77" s="372">
        <f t="shared" si="11"/>
        <v>0</v>
      </c>
      <c r="N77" s="416">
        <f>IF(D77&gt;0,VLOOKUP(D77,'Emissions Factors'!$B$166:$H$178,4,FALSE),0)</f>
        <v>0</v>
      </c>
      <c r="O77" s="373">
        <f t="shared" si="17"/>
        <v>0</v>
      </c>
      <c r="P77" s="121"/>
      <c r="Q77" s="121"/>
      <c r="R77" s="121"/>
      <c r="S77" s="374">
        <f>IF(D77&gt;0,VLOOKUP(D77,'Emissions Factors'!$B$166:$K$178,9,FALSE),0)</f>
        <v>0</v>
      </c>
      <c r="T77" s="373">
        <f t="shared" si="14"/>
        <v>0</v>
      </c>
      <c r="U77" s="121"/>
      <c r="V77" s="418">
        <f t="shared" si="15"/>
        <v>0</v>
      </c>
      <c r="W77" s="418">
        <f t="shared" si="16"/>
        <v>0</v>
      </c>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P77" s="121"/>
      <c r="BQ77" s="121"/>
      <c r="BR77" s="121"/>
      <c r="BS77" s="121"/>
      <c r="BT77" s="121"/>
      <c r="BU77" s="121"/>
      <c r="BV77" s="121"/>
      <c r="BW77" s="121"/>
      <c r="BX77" s="121"/>
      <c r="BY77" s="121"/>
      <c r="BZ77" s="121"/>
      <c r="CA77" s="121"/>
      <c r="CB77" s="121"/>
      <c r="CC77" s="121"/>
      <c r="CD77" s="121"/>
      <c r="CE77" s="121"/>
      <c r="CF77" s="121"/>
      <c r="CG77" s="121"/>
      <c r="CH77" s="121"/>
      <c r="CI77" s="121"/>
      <c r="CJ77" s="121"/>
      <c r="CK77" s="121"/>
      <c r="CL77" s="121"/>
      <c r="CM77" s="121"/>
      <c r="CN77" s="121"/>
      <c r="CO77" s="121"/>
      <c r="CP77" s="121"/>
      <c r="CQ77" s="121"/>
      <c r="CR77" s="121"/>
      <c r="CS77" s="121"/>
      <c r="CT77" s="121"/>
      <c r="CU77" s="121"/>
      <c r="CV77" s="121"/>
      <c r="CW77" s="121"/>
      <c r="CX77" s="121"/>
      <c r="CY77" s="121"/>
      <c r="CZ77" s="121"/>
      <c r="DA77" s="121"/>
      <c r="DB77" s="121"/>
      <c r="DC77" s="121"/>
      <c r="DD77" s="121"/>
    </row>
    <row r="78" spans="1:108" s="21" customFormat="1" ht="13" x14ac:dyDescent="0.15">
      <c r="A78" s="121"/>
      <c r="B78" s="393"/>
      <c r="C78" s="121"/>
      <c r="D78" s="393"/>
      <c r="E78" s="121"/>
      <c r="F78" s="393"/>
      <c r="G78" s="141"/>
      <c r="H78" s="121"/>
      <c r="I78" s="121"/>
      <c r="J78" s="121"/>
      <c r="K78" s="289">
        <f>IF(D78&gt;0,VLOOKUP(D78,'Emissions Factors'!$B$166:$H$178,2,FALSE),0)</f>
        <v>0</v>
      </c>
      <c r="L78" s="371">
        <f t="shared" si="13"/>
        <v>0</v>
      </c>
      <c r="M78" s="372">
        <f t="shared" si="11"/>
        <v>0</v>
      </c>
      <c r="N78" s="416">
        <f>IF(D78&gt;0,VLOOKUP(D78,'Emissions Factors'!$B$166:$H$178,4,FALSE),0)</f>
        <v>0</v>
      </c>
      <c r="O78" s="373">
        <f t="shared" si="17"/>
        <v>0</v>
      </c>
      <c r="P78" s="121"/>
      <c r="Q78" s="121"/>
      <c r="R78" s="121"/>
      <c r="S78" s="374">
        <f>IF(D78&gt;0,VLOOKUP(D78,'Emissions Factors'!$B$166:$K$178,9,FALSE),0)</f>
        <v>0</v>
      </c>
      <c r="T78" s="373">
        <f t="shared" si="14"/>
        <v>0</v>
      </c>
      <c r="U78" s="121"/>
      <c r="V78" s="418">
        <f t="shared" si="15"/>
        <v>0</v>
      </c>
      <c r="W78" s="418">
        <f t="shared" si="16"/>
        <v>0</v>
      </c>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21"/>
      <c r="BV78" s="121"/>
      <c r="BW78" s="121"/>
      <c r="BX78" s="121"/>
      <c r="BY78" s="121"/>
      <c r="BZ78" s="121"/>
      <c r="CA78" s="121"/>
      <c r="CB78" s="121"/>
      <c r="CC78" s="121"/>
      <c r="CD78" s="121"/>
      <c r="CE78" s="121"/>
      <c r="CF78" s="121"/>
      <c r="CG78" s="121"/>
      <c r="CH78" s="121"/>
      <c r="CI78" s="121"/>
      <c r="CJ78" s="121"/>
      <c r="CK78" s="121"/>
      <c r="CL78" s="121"/>
      <c r="CM78" s="121"/>
      <c r="CN78" s="121"/>
      <c r="CO78" s="121"/>
      <c r="CP78" s="121"/>
      <c r="CQ78" s="121"/>
      <c r="CR78" s="121"/>
      <c r="CS78" s="121"/>
      <c r="CT78" s="121"/>
      <c r="CU78" s="121"/>
      <c r="CV78" s="121"/>
      <c r="CW78" s="121"/>
      <c r="CX78" s="121"/>
      <c r="CY78" s="121"/>
      <c r="CZ78" s="121"/>
      <c r="DA78" s="121"/>
      <c r="DB78" s="121"/>
      <c r="DC78" s="121"/>
      <c r="DD78" s="121"/>
    </row>
    <row r="79" spans="1:108" s="21" customFormat="1" ht="13" x14ac:dyDescent="0.15">
      <c r="A79" s="121"/>
      <c r="B79" s="393"/>
      <c r="C79" s="121"/>
      <c r="D79" s="393"/>
      <c r="E79" s="121"/>
      <c r="F79" s="393"/>
      <c r="G79" s="141"/>
      <c r="H79" s="121"/>
      <c r="I79" s="121"/>
      <c r="J79" s="121"/>
      <c r="K79" s="289">
        <f>IF(D79&gt;0,VLOOKUP(D79,'Emissions Factors'!$B$166:$H$178,2,FALSE),0)</f>
        <v>0</v>
      </c>
      <c r="L79" s="371">
        <f t="shared" si="13"/>
        <v>0</v>
      </c>
      <c r="M79" s="372">
        <f t="shared" si="11"/>
        <v>0</v>
      </c>
      <c r="N79" s="416">
        <f>IF(D79&gt;0,VLOOKUP(D79,'Emissions Factors'!$B$166:$H$178,4,FALSE),0)</f>
        <v>0</v>
      </c>
      <c r="O79" s="373">
        <f t="shared" si="17"/>
        <v>0</v>
      </c>
      <c r="P79" s="121"/>
      <c r="Q79" s="121"/>
      <c r="R79" s="121"/>
      <c r="S79" s="374">
        <f>IF(D79&gt;0,VLOOKUP(D79,'Emissions Factors'!$B$166:$K$178,9,FALSE),0)</f>
        <v>0</v>
      </c>
      <c r="T79" s="373">
        <f t="shared" si="14"/>
        <v>0</v>
      </c>
      <c r="U79" s="121"/>
      <c r="V79" s="418">
        <f t="shared" si="15"/>
        <v>0</v>
      </c>
      <c r="W79" s="418">
        <f t="shared" si="16"/>
        <v>0</v>
      </c>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c r="BJ79" s="121"/>
      <c r="BK79" s="121"/>
      <c r="BL79" s="121"/>
      <c r="BM79" s="121"/>
      <c r="BN79" s="121"/>
      <c r="BO79" s="121"/>
      <c r="BP79" s="121"/>
      <c r="BQ79" s="121"/>
      <c r="BR79" s="121"/>
      <c r="BS79" s="121"/>
      <c r="BT79" s="121"/>
      <c r="BU79" s="121"/>
      <c r="BV79" s="121"/>
      <c r="BW79" s="121"/>
      <c r="BX79" s="121"/>
      <c r="BY79" s="121"/>
      <c r="BZ79" s="121"/>
      <c r="CA79" s="121"/>
      <c r="CB79" s="121"/>
      <c r="CC79" s="121"/>
      <c r="CD79" s="121"/>
      <c r="CE79" s="121"/>
      <c r="CF79" s="121"/>
      <c r="CG79" s="121"/>
      <c r="CH79" s="121"/>
      <c r="CI79" s="121"/>
      <c r="CJ79" s="121"/>
      <c r="CK79" s="121"/>
      <c r="CL79" s="121"/>
      <c r="CM79" s="121"/>
      <c r="CN79" s="121"/>
      <c r="CO79" s="121"/>
      <c r="CP79" s="121"/>
      <c r="CQ79" s="121"/>
      <c r="CR79" s="121"/>
      <c r="CS79" s="121"/>
      <c r="CT79" s="121"/>
      <c r="CU79" s="121"/>
      <c r="CV79" s="121"/>
      <c r="CW79" s="121"/>
      <c r="CX79" s="121"/>
      <c r="CY79" s="121"/>
      <c r="CZ79" s="121"/>
      <c r="DA79" s="121"/>
      <c r="DB79" s="121"/>
      <c r="DC79" s="121"/>
      <c r="DD79" s="121"/>
    </row>
    <row r="80" spans="1:108" s="21" customFormat="1" ht="13" x14ac:dyDescent="0.15">
      <c r="A80" s="121"/>
      <c r="B80" s="393"/>
      <c r="C80" s="121"/>
      <c r="D80" s="393"/>
      <c r="E80" s="121"/>
      <c r="F80" s="393"/>
      <c r="G80" s="141"/>
      <c r="H80" s="121"/>
      <c r="I80" s="121"/>
      <c r="J80" s="121"/>
      <c r="K80" s="289">
        <f>IF(D80&gt;0,VLOOKUP(D80,'Emissions Factors'!$B$166:$H$178,2,FALSE),0)</f>
        <v>0</v>
      </c>
      <c r="L80" s="371">
        <f t="shared" si="13"/>
        <v>0</v>
      </c>
      <c r="M80" s="372">
        <f t="shared" si="11"/>
        <v>0</v>
      </c>
      <c r="N80" s="416">
        <f>IF(D80&gt;0,VLOOKUP(D80,'Emissions Factors'!$B$166:$H$178,4,FALSE),0)</f>
        <v>0</v>
      </c>
      <c r="O80" s="373">
        <f t="shared" si="17"/>
        <v>0</v>
      </c>
      <c r="P80" s="121"/>
      <c r="Q80" s="121"/>
      <c r="R80" s="121"/>
      <c r="S80" s="374">
        <f>IF(D80&gt;0,VLOOKUP(D80,'Emissions Factors'!$B$166:$K$178,9,FALSE),0)</f>
        <v>0</v>
      </c>
      <c r="T80" s="373">
        <f t="shared" si="14"/>
        <v>0</v>
      </c>
      <c r="U80" s="121"/>
      <c r="V80" s="418">
        <f t="shared" si="15"/>
        <v>0</v>
      </c>
      <c r="W80" s="418">
        <f t="shared" si="16"/>
        <v>0</v>
      </c>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121"/>
      <c r="CS80" s="121"/>
      <c r="CT80" s="121"/>
      <c r="CU80" s="121"/>
      <c r="CV80" s="121"/>
      <c r="CW80" s="121"/>
      <c r="CX80" s="121"/>
      <c r="CY80" s="121"/>
      <c r="CZ80" s="121"/>
      <c r="DA80" s="121"/>
      <c r="DB80" s="121"/>
      <c r="DC80" s="121"/>
      <c r="DD80" s="121"/>
    </row>
    <row r="81" spans="1:108" s="21" customFormat="1" ht="13" x14ac:dyDescent="0.15">
      <c r="A81" s="121"/>
      <c r="B81" s="393"/>
      <c r="C81" s="121"/>
      <c r="D81" s="393"/>
      <c r="E81" s="121"/>
      <c r="F81" s="393"/>
      <c r="G81" s="141"/>
      <c r="H81" s="121"/>
      <c r="I81" s="121"/>
      <c r="J81" s="121"/>
      <c r="K81" s="289">
        <f>IF(D81&gt;0,VLOOKUP(D81,'Emissions Factors'!$B$166:$H$178,2,FALSE),0)</f>
        <v>0</v>
      </c>
      <c r="L81" s="371">
        <f t="shared" si="13"/>
        <v>0</v>
      </c>
      <c r="M81" s="372">
        <f t="shared" si="11"/>
        <v>0</v>
      </c>
      <c r="N81" s="416">
        <f>IF(D81&gt;0,VLOOKUP(D81,'Emissions Factors'!$B$166:$H$178,4,FALSE),0)</f>
        <v>0</v>
      </c>
      <c r="O81" s="373">
        <f t="shared" si="17"/>
        <v>0</v>
      </c>
      <c r="P81" s="121"/>
      <c r="Q81" s="121"/>
      <c r="R81" s="121"/>
      <c r="S81" s="374">
        <f>IF(D81&gt;0,VLOOKUP(D81,'Emissions Factors'!$B$166:$K$178,9,FALSE),0)</f>
        <v>0</v>
      </c>
      <c r="T81" s="373">
        <f t="shared" si="14"/>
        <v>0</v>
      </c>
      <c r="U81" s="121"/>
      <c r="V81" s="418">
        <f t="shared" si="15"/>
        <v>0</v>
      </c>
      <c r="W81" s="418">
        <f t="shared" si="16"/>
        <v>0</v>
      </c>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121"/>
      <c r="CS81" s="121"/>
      <c r="CT81" s="121"/>
      <c r="CU81" s="121"/>
      <c r="CV81" s="121"/>
      <c r="CW81" s="121"/>
      <c r="CX81" s="121"/>
      <c r="CY81" s="121"/>
      <c r="CZ81" s="121"/>
      <c r="DA81" s="121"/>
      <c r="DB81" s="121"/>
      <c r="DC81" s="121"/>
      <c r="DD81" s="121"/>
    </row>
    <row r="82" spans="1:108" s="121" customFormat="1" x14ac:dyDescent="0.15">
      <c r="D82" s="140"/>
      <c r="R82" s="2"/>
      <c r="S82" s="2"/>
      <c r="T82" s="2"/>
      <c r="U82" s="2"/>
    </row>
    <row r="83" spans="1:108" s="121" customFormat="1" ht="18" x14ac:dyDescent="0.2">
      <c r="B83" s="490" t="s">
        <v>433</v>
      </c>
      <c r="C83" s="490"/>
      <c r="D83" s="490"/>
      <c r="E83" s="490"/>
      <c r="F83" s="490"/>
      <c r="G83" s="490"/>
      <c r="H83" s="490"/>
      <c r="I83" s="490"/>
      <c r="K83" s="2"/>
      <c r="M83" s="2"/>
      <c r="N83" s="2"/>
      <c r="O83" s="2"/>
      <c r="P83" s="2"/>
      <c r="Q83" s="2"/>
      <c r="R83" s="2"/>
      <c r="S83" s="2"/>
      <c r="T83" s="2"/>
      <c r="U83" s="2"/>
    </row>
    <row r="84" spans="1:108" s="2" customFormat="1" x14ac:dyDescent="0.15">
      <c r="B84" s="500"/>
      <c r="C84" s="501"/>
      <c r="D84" s="501"/>
      <c r="E84" s="501"/>
      <c r="F84" s="501"/>
      <c r="G84" s="501"/>
      <c r="H84" s="501"/>
      <c r="I84" s="502"/>
      <c r="J84" s="121"/>
      <c r="L84" s="121"/>
    </row>
    <row r="85" spans="1:108" s="2" customFormat="1" x14ac:dyDescent="0.15">
      <c r="B85" s="503"/>
      <c r="C85" s="504"/>
      <c r="D85" s="504"/>
      <c r="E85" s="504"/>
      <c r="F85" s="504"/>
      <c r="G85" s="504"/>
      <c r="H85" s="504"/>
      <c r="I85" s="505"/>
      <c r="J85" s="121"/>
      <c r="L85" s="121"/>
    </row>
    <row r="86" spans="1:108" s="2" customFormat="1" x14ac:dyDescent="0.15">
      <c r="B86" s="503"/>
      <c r="C86" s="504"/>
      <c r="D86" s="504"/>
      <c r="E86" s="504"/>
      <c r="F86" s="504"/>
      <c r="G86" s="504"/>
      <c r="H86" s="504"/>
      <c r="I86" s="505"/>
      <c r="J86" s="121"/>
      <c r="L86" s="121"/>
    </row>
    <row r="87" spans="1:108" s="2" customFormat="1" x14ac:dyDescent="0.15">
      <c r="B87" s="503"/>
      <c r="C87" s="504"/>
      <c r="D87" s="504"/>
      <c r="E87" s="504"/>
      <c r="F87" s="504"/>
      <c r="G87" s="504"/>
      <c r="H87" s="504"/>
      <c r="I87" s="505"/>
      <c r="J87" s="121"/>
      <c r="L87" s="121"/>
    </row>
    <row r="88" spans="1:108" s="2" customFormat="1" x14ac:dyDescent="0.15">
      <c r="B88" s="503"/>
      <c r="C88" s="504"/>
      <c r="D88" s="504"/>
      <c r="E88" s="504"/>
      <c r="F88" s="504"/>
      <c r="G88" s="504"/>
      <c r="H88" s="504"/>
      <c r="I88" s="505"/>
      <c r="J88" s="121"/>
      <c r="L88" s="121"/>
    </row>
    <row r="89" spans="1:108" s="2" customFormat="1" x14ac:dyDescent="0.15">
      <c r="B89" s="506"/>
      <c r="C89" s="507"/>
      <c r="D89" s="507"/>
      <c r="E89" s="507"/>
      <c r="F89" s="507"/>
      <c r="G89" s="507"/>
      <c r="H89" s="507"/>
      <c r="I89" s="508"/>
      <c r="J89" s="121"/>
      <c r="L89" s="121"/>
    </row>
    <row r="90" spans="1:108" s="2" customFormat="1" x14ac:dyDescent="0.15">
      <c r="D90" s="10"/>
      <c r="J90" s="121"/>
      <c r="L90" s="121"/>
    </row>
    <row r="91" spans="1:108" s="2" customFormat="1" x14ac:dyDescent="0.15">
      <c r="D91" s="10"/>
    </row>
    <row r="92" spans="1:108" s="2" customFormat="1" x14ac:dyDescent="0.15">
      <c r="D92" s="10"/>
    </row>
    <row r="93" spans="1:108" s="2" customFormat="1" x14ac:dyDescent="0.15">
      <c r="D93" s="10"/>
    </row>
    <row r="94" spans="1:108" s="2" customFormat="1" x14ac:dyDescent="0.15">
      <c r="D94" s="10"/>
    </row>
    <row r="95" spans="1:108" s="2" customFormat="1" x14ac:dyDescent="0.15">
      <c r="D95" s="10"/>
    </row>
    <row r="96" spans="1:108" s="2" customFormat="1" x14ac:dyDescent="0.15">
      <c r="D96" s="10"/>
    </row>
    <row r="97" spans="4:4" s="2" customFormat="1" x14ac:dyDescent="0.15">
      <c r="D97" s="10"/>
    </row>
    <row r="98" spans="4:4" s="2" customFormat="1" x14ac:dyDescent="0.15">
      <c r="D98" s="10"/>
    </row>
    <row r="99" spans="4:4" s="2" customFormat="1" x14ac:dyDescent="0.15">
      <c r="D99" s="10"/>
    </row>
  </sheetData>
  <sheetProtection algorithmName="SHA-512" hashValue="RwC7ATcjvvbH9m7SC1D2ZTV7/LDF07ECmm/XmwuiJHPxhQ6RkkUXOquTsxWRlmxXiRtTOqGlmLbZyRu35mmPeQ==" saltValue="m2nGRqwc6n7hpcR/D7PPHg==" spinCount="100000" sheet="1" objects="1" scenarios="1"/>
  <mergeCells count="7">
    <mergeCell ref="B84:I89"/>
    <mergeCell ref="B4:I4"/>
    <mergeCell ref="B34:H34"/>
    <mergeCell ref="B57:E57"/>
    <mergeCell ref="B13:H13"/>
    <mergeCell ref="B30:E30"/>
    <mergeCell ref="B83:I83"/>
  </mergeCells>
  <phoneticPr fontId="10" type="noConversion"/>
  <dataValidations count="1">
    <dataValidation type="list" allowBlank="1" showInputMessage="1" showErrorMessage="1" sqref="D38:D55 D63:D70 D73:D81" xr:uid="{00000000-0002-0000-0500-000000000000}">
      <formula1>$B$16:$B$28</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5"/>
    <pageSetUpPr fitToPage="1"/>
  </sheetPr>
  <dimension ref="A1:EA175"/>
  <sheetViews>
    <sheetView zoomScale="125" zoomScaleNormal="100" workbookViewId="0">
      <selection activeCell="B12" sqref="B12"/>
    </sheetView>
  </sheetViews>
  <sheetFormatPr baseColWidth="10" defaultColWidth="9.1640625" defaultRowHeight="14" outlineLevelCol="1" x14ac:dyDescent="0.15"/>
  <cols>
    <col min="1" max="1" width="3.1640625" style="2" customWidth="1"/>
    <col min="2" max="2" width="22.6640625" style="10" customWidth="1"/>
    <col min="3" max="3" width="4.6640625" style="130" customWidth="1"/>
    <col min="4" max="11" width="8.83203125" style="2" customWidth="1"/>
    <col min="12" max="15" width="7.83203125" style="2" customWidth="1"/>
    <col min="16" max="16" width="13.1640625" style="107" bestFit="1" customWidth="1"/>
    <col min="17" max="17" width="9.1640625" style="107" hidden="1" customWidth="1" outlineLevel="1"/>
    <col min="18" max="19" width="10.1640625" style="107" hidden="1" customWidth="1" outlineLevel="1"/>
    <col min="20" max="20" width="9.1640625" style="107" hidden="1" customWidth="1" outlineLevel="1"/>
    <col min="21" max="21" width="9.83203125" style="107" hidden="1" customWidth="1" outlineLevel="1"/>
    <col min="22" max="23" width="9.1640625" style="107" hidden="1" customWidth="1" outlineLevel="1"/>
    <col min="24" max="24" width="11.6640625" style="107" hidden="1" customWidth="1" outlineLevel="1"/>
    <col min="25" max="25" width="10.6640625" style="107" hidden="1" customWidth="1" outlineLevel="1"/>
    <col min="26" max="28" width="9.1640625" style="107" hidden="1" customWidth="1" outlineLevel="1"/>
    <col min="29" max="29" width="9.1640625" style="2" collapsed="1"/>
    <col min="30" max="131" width="9.1640625" style="2"/>
    <col min="132" max="16384" width="9.1640625" style="107"/>
  </cols>
  <sheetData>
    <row r="1" spans="1:131" ht="25.5" customHeight="1" x14ac:dyDescent="0.25">
      <c r="A1" s="114"/>
      <c r="B1" s="122" t="s">
        <v>456</v>
      </c>
      <c r="P1" s="2"/>
      <c r="Q1" s="2"/>
      <c r="R1" s="2"/>
      <c r="S1" s="115"/>
      <c r="T1" s="2"/>
      <c r="U1" s="2"/>
      <c r="V1" s="2"/>
      <c r="W1" s="2"/>
      <c r="X1" s="2"/>
      <c r="Y1" s="2"/>
      <c r="Z1" s="2"/>
      <c r="AA1" s="2"/>
      <c r="AB1" s="2"/>
      <c r="AC1" s="2" t="s">
        <v>892</v>
      </c>
    </row>
    <row r="2" spans="1:131" s="127" customFormat="1" ht="25.5" customHeight="1" x14ac:dyDescent="0.2">
      <c r="A2" s="124"/>
      <c r="B2" s="386" t="s">
        <v>626</v>
      </c>
      <c r="C2" s="438"/>
      <c r="D2" s="126"/>
      <c r="E2" s="124"/>
      <c r="F2" s="125">
        <f>SUM(AA12:AA16)+SUM(AA22:AA66)</f>
        <v>0</v>
      </c>
      <c r="G2" s="126" t="s">
        <v>497</v>
      </c>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row>
    <row r="3" spans="1:131" ht="23" x14ac:dyDescent="0.25">
      <c r="A3" s="114"/>
      <c r="B3" s="119" t="s">
        <v>198</v>
      </c>
      <c r="P3" s="2"/>
      <c r="Q3" s="2"/>
      <c r="R3" s="2"/>
      <c r="S3" s="2"/>
      <c r="T3" s="2"/>
      <c r="U3" s="2"/>
      <c r="V3" s="2"/>
      <c r="W3" s="2"/>
      <c r="X3" s="2"/>
      <c r="Y3" s="2"/>
      <c r="Z3" s="2"/>
      <c r="AA3" s="2"/>
      <c r="AB3" s="2"/>
    </row>
    <row r="4" spans="1:131" s="164" customFormat="1" ht="102" customHeight="1" x14ac:dyDescent="0.15">
      <c r="A4" s="10"/>
      <c r="B4" s="535" t="s">
        <v>815</v>
      </c>
      <c r="C4" s="535"/>
      <c r="D4" s="535"/>
      <c r="E4" s="535"/>
      <c r="F4" s="535"/>
      <c r="G4" s="535"/>
      <c r="H4" s="535"/>
      <c r="I4" s="535"/>
      <c r="J4" s="535"/>
      <c r="K4" s="535"/>
      <c r="L4" s="535"/>
      <c r="M4" s="535"/>
      <c r="N4" s="535"/>
      <c r="O4" s="535"/>
      <c r="P4" s="535"/>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row>
    <row r="5" spans="1:131" x14ac:dyDescent="0.15">
      <c r="P5" s="2"/>
      <c r="Q5" s="2"/>
      <c r="R5" s="2"/>
      <c r="S5" s="2"/>
      <c r="T5" s="2"/>
      <c r="U5" s="2"/>
      <c r="V5" s="2"/>
      <c r="W5" s="2"/>
      <c r="X5" s="2"/>
      <c r="Y5" s="2"/>
      <c r="Z5" s="2"/>
      <c r="AA5" s="2"/>
      <c r="AB5" s="2"/>
    </row>
    <row r="6" spans="1:131" ht="18" x14ac:dyDescent="0.2">
      <c r="B6" s="490" t="s">
        <v>434</v>
      </c>
      <c r="C6" s="490"/>
      <c r="D6" s="490"/>
      <c r="E6" s="490"/>
      <c r="F6" s="490"/>
      <c r="G6" s="490"/>
      <c r="H6" s="490"/>
      <c r="I6" s="490"/>
      <c r="J6" s="490"/>
      <c r="K6" s="490"/>
      <c r="L6" s="490"/>
      <c r="M6" s="490"/>
      <c r="N6" s="490"/>
      <c r="O6" s="490"/>
      <c r="P6" s="490"/>
      <c r="Q6" s="2"/>
      <c r="R6" s="121"/>
      <c r="S6" s="121"/>
      <c r="T6" s="2"/>
      <c r="U6" s="2"/>
      <c r="V6" s="2"/>
      <c r="W6" s="2"/>
      <c r="X6" s="2"/>
      <c r="Y6" s="2"/>
      <c r="Z6" s="2"/>
      <c r="AA6" s="2"/>
      <c r="AB6" s="2"/>
    </row>
    <row r="7" spans="1:131" ht="15" customHeight="1" x14ac:dyDescent="0.15">
      <c r="B7" s="531" t="s">
        <v>555</v>
      </c>
      <c r="C7" s="531"/>
      <c r="D7" s="531"/>
      <c r="E7" s="531"/>
      <c r="F7" s="531"/>
      <c r="G7" s="531"/>
      <c r="H7" s="531"/>
      <c r="I7" s="531"/>
      <c r="J7" s="531"/>
      <c r="K7" s="531"/>
      <c r="L7" s="531"/>
      <c r="M7" s="531"/>
      <c r="N7" s="531"/>
      <c r="O7" s="531"/>
      <c r="P7" s="531"/>
      <c r="Q7" s="2"/>
      <c r="R7" s="2"/>
      <c r="S7" s="2"/>
      <c r="T7" s="2"/>
      <c r="U7" s="2"/>
      <c r="V7" s="2"/>
      <c r="W7" s="2"/>
      <c r="X7" s="2"/>
      <c r="Y7" s="2"/>
      <c r="Z7" s="2"/>
      <c r="AA7" s="2"/>
      <c r="AB7" s="2"/>
    </row>
    <row r="8" spans="1:131" x14ac:dyDescent="0.15">
      <c r="P8" s="2"/>
      <c r="Q8" s="2"/>
      <c r="R8" s="2"/>
      <c r="S8" s="2"/>
      <c r="T8" s="2"/>
      <c r="U8" s="2"/>
      <c r="V8" s="2"/>
      <c r="W8" s="2"/>
      <c r="X8" s="2"/>
      <c r="Y8" s="2"/>
      <c r="Z8" s="2"/>
      <c r="AA8" s="2"/>
      <c r="AB8" s="2"/>
    </row>
    <row r="9" spans="1:131" ht="15.75" customHeight="1" x14ac:dyDescent="0.2">
      <c r="B9" s="165" t="s">
        <v>167</v>
      </c>
      <c r="P9" s="2"/>
      <c r="Q9" s="2"/>
      <c r="R9" s="2"/>
      <c r="S9" s="2"/>
      <c r="T9" s="2"/>
      <c r="U9" s="2"/>
      <c r="V9" s="2"/>
      <c r="W9" s="2"/>
      <c r="X9" s="2"/>
      <c r="Y9" s="2"/>
      <c r="Z9" s="2"/>
      <c r="AA9" s="2"/>
      <c r="AB9" s="2"/>
    </row>
    <row r="10" spans="1:131" s="199" customFormat="1" ht="66" customHeight="1" x14ac:dyDescent="0.2">
      <c r="A10" s="198"/>
      <c r="B10" s="532" t="s">
        <v>827</v>
      </c>
      <c r="C10" s="532"/>
      <c r="D10" s="532"/>
      <c r="E10" s="532"/>
      <c r="F10" s="532"/>
      <c r="G10" s="532"/>
      <c r="H10" s="532"/>
      <c r="I10" s="532"/>
      <c r="J10" s="532"/>
      <c r="K10" s="532"/>
      <c r="L10" s="532"/>
      <c r="M10" s="532"/>
      <c r="N10" s="532"/>
      <c r="O10" s="532"/>
      <c r="P10" s="532"/>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c r="CW10" s="198"/>
      <c r="CX10" s="198"/>
      <c r="CY10" s="198"/>
      <c r="CZ10" s="198"/>
      <c r="DA10" s="198"/>
      <c r="DB10" s="198"/>
      <c r="DC10" s="198"/>
      <c r="DD10" s="198"/>
      <c r="DE10" s="198"/>
      <c r="DF10" s="198"/>
      <c r="DG10" s="198"/>
      <c r="DH10" s="198"/>
      <c r="DI10" s="198"/>
      <c r="DJ10" s="198"/>
      <c r="DK10" s="198"/>
      <c r="DL10" s="198"/>
      <c r="DM10" s="198"/>
      <c r="DN10" s="198"/>
      <c r="DO10" s="198"/>
      <c r="DP10" s="198"/>
      <c r="DQ10" s="198"/>
      <c r="DR10" s="198"/>
      <c r="DS10" s="198"/>
      <c r="DT10" s="198"/>
      <c r="DU10" s="198"/>
      <c r="DV10" s="198"/>
      <c r="DW10" s="198"/>
      <c r="DX10" s="198"/>
      <c r="DY10" s="198"/>
      <c r="DZ10" s="198"/>
      <c r="EA10" s="198"/>
    </row>
    <row r="11" spans="1:131" s="21" customFormat="1" ht="15" customHeight="1" x14ac:dyDescent="0.2">
      <c r="A11" s="121"/>
      <c r="B11" s="4" t="s">
        <v>494</v>
      </c>
      <c r="C11" s="274"/>
      <c r="D11" s="121"/>
      <c r="E11" s="257" t="s">
        <v>796</v>
      </c>
      <c r="F11" s="121"/>
      <c r="G11" s="121"/>
      <c r="H11" s="121"/>
      <c r="I11" s="121"/>
      <c r="J11" s="121"/>
      <c r="K11" s="121"/>
      <c r="L11" s="121"/>
      <c r="M11" s="121"/>
      <c r="N11" s="121"/>
      <c r="O11" s="121"/>
      <c r="P11" s="2"/>
      <c r="Q11" s="2"/>
      <c r="R11" s="2"/>
      <c r="S11" s="2"/>
      <c r="T11" s="2"/>
      <c r="U11" s="274"/>
      <c r="V11" s="274"/>
      <c r="W11" s="274"/>
      <c r="X11" s="257" t="s">
        <v>884</v>
      </c>
      <c r="Y11" s="257" t="s">
        <v>18</v>
      </c>
      <c r="Z11" s="257" t="s">
        <v>17</v>
      </c>
      <c r="AA11" s="257" t="s">
        <v>542</v>
      </c>
      <c r="AB11" s="274"/>
      <c r="AC11" s="257" t="s">
        <v>548</v>
      </c>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row>
    <row r="12" spans="1:131" s="21" customFormat="1" x14ac:dyDescent="0.15">
      <c r="A12" s="121"/>
      <c r="B12" s="457" t="s">
        <v>486</v>
      </c>
      <c r="C12" s="274"/>
      <c r="D12" s="121"/>
      <c r="E12" s="391"/>
      <c r="F12" s="274" t="s">
        <v>32</v>
      </c>
      <c r="G12" s="121"/>
      <c r="H12" s="121"/>
      <c r="I12" s="121"/>
      <c r="J12" s="121"/>
      <c r="K12" s="121"/>
      <c r="L12" s="121"/>
      <c r="M12" s="121"/>
      <c r="N12" s="121"/>
      <c r="O12" s="121"/>
      <c r="P12" s="2"/>
      <c r="Q12" s="2"/>
      <c r="R12" s="2"/>
      <c r="S12" s="2"/>
      <c r="T12" s="2"/>
      <c r="U12" s="274"/>
      <c r="V12" s="274"/>
      <c r="W12" s="274"/>
      <c r="X12" s="167">
        <f>E12</f>
        <v>0</v>
      </c>
      <c r="Y12" s="132">
        <f>X12*'Emissions Factors'!$C$24</f>
        <v>0</v>
      </c>
      <c r="Z12" s="134">
        <f>VLOOKUP(B12,'Emissions Factors'!$B$79:$C$132,2,FALSE)</f>
        <v>0</v>
      </c>
      <c r="AA12" s="132">
        <f>Y12*Z12</f>
        <v>0</v>
      </c>
      <c r="AB12" s="274"/>
      <c r="AC12" s="418">
        <f>AA12</f>
        <v>0</v>
      </c>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row>
    <row r="13" spans="1:131" s="21" customFormat="1" x14ac:dyDescent="0.15">
      <c r="A13" s="121"/>
      <c r="B13" s="457" t="s">
        <v>486</v>
      </c>
      <c r="C13" s="274"/>
      <c r="D13" s="121"/>
      <c r="E13" s="391"/>
      <c r="F13" s="274" t="s">
        <v>32</v>
      </c>
      <c r="G13" s="121"/>
      <c r="H13" s="121"/>
      <c r="I13" s="121"/>
      <c r="J13" s="121"/>
      <c r="K13" s="121"/>
      <c r="L13" s="121"/>
      <c r="M13" s="121"/>
      <c r="N13" s="121"/>
      <c r="O13" s="121"/>
      <c r="P13" s="2"/>
      <c r="Q13" s="2"/>
      <c r="R13" s="2"/>
      <c r="S13" s="2"/>
      <c r="T13" s="2"/>
      <c r="U13" s="274"/>
      <c r="V13" s="274"/>
      <c r="W13" s="274"/>
      <c r="X13" s="167">
        <f>E13</f>
        <v>0</v>
      </c>
      <c r="Y13" s="132">
        <f>X13*'Emissions Factors'!$C$24</f>
        <v>0</v>
      </c>
      <c r="Z13" s="134">
        <f>VLOOKUP(B13,'Emissions Factors'!$B$79:$C$132,2,FALSE)</f>
        <v>0</v>
      </c>
      <c r="AA13" s="132">
        <f>Y13*Z13</f>
        <v>0</v>
      </c>
      <c r="AB13" s="274"/>
      <c r="AC13" s="418">
        <f>AA13</f>
        <v>0</v>
      </c>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row>
    <row r="14" spans="1:131" s="21" customFormat="1" x14ac:dyDescent="0.15">
      <c r="A14" s="121"/>
      <c r="B14" s="457" t="s">
        <v>486</v>
      </c>
      <c r="C14" s="274"/>
      <c r="D14" s="121"/>
      <c r="E14" s="391"/>
      <c r="F14" s="274" t="s">
        <v>32</v>
      </c>
      <c r="G14" s="121"/>
      <c r="H14" s="121"/>
      <c r="I14" s="121"/>
      <c r="J14" s="121"/>
      <c r="K14" s="121"/>
      <c r="L14" s="121"/>
      <c r="M14" s="121"/>
      <c r="N14" s="121"/>
      <c r="O14" s="121"/>
      <c r="P14" s="2"/>
      <c r="Q14" s="2"/>
      <c r="R14" s="2"/>
      <c r="S14" s="2"/>
      <c r="T14" s="2"/>
      <c r="U14" s="274"/>
      <c r="V14" s="274"/>
      <c r="W14" s="274"/>
      <c r="X14" s="167">
        <f>E14</f>
        <v>0</v>
      </c>
      <c r="Y14" s="132">
        <f>X14*'Emissions Factors'!$C$24</f>
        <v>0</v>
      </c>
      <c r="Z14" s="134">
        <f>VLOOKUP(B14,'Emissions Factors'!$B$79:$C$132,2,FALSE)</f>
        <v>0</v>
      </c>
      <c r="AA14" s="132">
        <f>Y14*Z14</f>
        <v>0</v>
      </c>
      <c r="AB14" s="274"/>
      <c r="AC14" s="418">
        <f>AA14</f>
        <v>0</v>
      </c>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row>
    <row r="15" spans="1:131" s="21" customFormat="1" x14ac:dyDescent="0.15">
      <c r="A15" s="121"/>
      <c r="B15" s="457" t="s">
        <v>486</v>
      </c>
      <c r="C15" s="274"/>
      <c r="D15" s="121"/>
      <c r="E15" s="391"/>
      <c r="F15" s="274" t="s">
        <v>32</v>
      </c>
      <c r="G15" s="121"/>
      <c r="H15" s="121"/>
      <c r="I15" s="121"/>
      <c r="J15" s="121"/>
      <c r="K15" s="121"/>
      <c r="L15" s="121"/>
      <c r="M15" s="121"/>
      <c r="N15" s="121"/>
      <c r="O15" s="121"/>
      <c r="P15" s="2"/>
      <c r="Q15" s="2"/>
      <c r="R15" s="2"/>
      <c r="S15" s="2"/>
      <c r="T15" s="2"/>
      <c r="U15" s="274"/>
      <c r="V15" s="274"/>
      <c r="W15" s="274"/>
      <c r="X15" s="167">
        <f>E15</f>
        <v>0</v>
      </c>
      <c r="Y15" s="132">
        <f>X15*'Emissions Factors'!$C$24</f>
        <v>0</v>
      </c>
      <c r="Z15" s="134">
        <f>VLOOKUP(B15,'Emissions Factors'!$B$79:$C$132,2,FALSE)</f>
        <v>0</v>
      </c>
      <c r="AA15" s="132">
        <f>Y15*Z15</f>
        <v>0</v>
      </c>
      <c r="AB15" s="274"/>
      <c r="AC15" s="418">
        <f>AA15</f>
        <v>0</v>
      </c>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row>
    <row r="16" spans="1:131" s="21" customFormat="1" x14ac:dyDescent="0.15">
      <c r="A16" s="121"/>
      <c r="B16" s="457" t="s">
        <v>486</v>
      </c>
      <c r="C16" s="274"/>
      <c r="D16" s="121"/>
      <c r="E16" s="391"/>
      <c r="F16" s="274" t="s">
        <v>32</v>
      </c>
      <c r="G16" s="121"/>
      <c r="H16" s="121"/>
      <c r="I16" s="121"/>
      <c r="J16" s="121"/>
      <c r="K16" s="121"/>
      <c r="L16" s="121"/>
      <c r="M16" s="121"/>
      <c r="N16" s="121"/>
      <c r="O16" s="121"/>
      <c r="P16" s="2"/>
      <c r="Q16" s="2"/>
      <c r="R16" s="2"/>
      <c r="S16" s="2"/>
      <c r="T16" s="2"/>
      <c r="U16" s="274"/>
      <c r="V16" s="274"/>
      <c r="W16" s="274"/>
      <c r="X16" s="167">
        <f>E16</f>
        <v>0</v>
      </c>
      <c r="Y16" s="132">
        <f>X16*'Emissions Factors'!$C$24</f>
        <v>0</v>
      </c>
      <c r="Z16" s="134">
        <f>VLOOKUP(B16,'Emissions Factors'!$B$79:$C$132,2,FALSE)</f>
        <v>0</v>
      </c>
      <c r="AA16" s="132">
        <f>Y16*Z16</f>
        <v>0</v>
      </c>
      <c r="AB16" s="274"/>
      <c r="AC16" s="418">
        <f>AA16</f>
        <v>0</v>
      </c>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row>
    <row r="17" spans="1:131" s="21" customFormat="1" x14ac:dyDescent="0.15">
      <c r="A17" s="121"/>
      <c r="B17" s="140"/>
      <c r="C17" s="274"/>
      <c r="D17" s="121"/>
      <c r="E17" s="121"/>
      <c r="F17" s="121"/>
      <c r="G17" s="121"/>
      <c r="H17" s="121"/>
      <c r="I17" s="121"/>
      <c r="J17" s="121"/>
      <c r="K17" s="121"/>
      <c r="L17" s="121"/>
      <c r="M17" s="121"/>
      <c r="N17" s="121"/>
      <c r="O17" s="121"/>
      <c r="P17" s="2"/>
      <c r="Q17" s="2"/>
      <c r="R17" s="2"/>
      <c r="S17" s="2"/>
      <c r="T17" s="2"/>
      <c r="U17" s="121"/>
      <c r="V17" s="121"/>
      <c r="W17" s="121"/>
      <c r="X17" s="121"/>
      <c r="Y17" s="121"/>
      <c r="Z17" s="121"/>
      <c r="AA17" s="121"/>
      <c r="AB17" s="121"/>
      <c r="AC17" s="277"/>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row>
    <row r="18" spans="1:131" ht="15.75" customHeight="1" x14ac:dyDescent="0.2">
      <c r="B18" s="165" t="s">
        <v>166</v>
      </c>
      <c r="P18" s="2"/>
      <c r="Q18" s="2"/>
      <c r="R18" s="2"/>
      <c r="S18" s="2"/>
      <c r="T18" s="2"/>
      <c r="U18" s="2"/>
      <c r="V18" s="2"/>
      <c r="W18" s="2"/>
      <c r="X18" s="2"/>
      <c r="Y18" s="2"/>
      <c r="Z18" s="2"/>
      <c r="AA18" s="2"/>
      <c r="AB18" s="2"/>
      <c r="AC18" s="157"/>
    </row>
    <row r="19" spans="1:131" s="199" customFormat="1" ht="95" customHeight="1" x14ac:dyDescent="0.15">
      <c r="A19" s="198"/>
      <c r="B19" s="533" t="s">
        <v>846</v>
      </c>
      <c r="C19" s="533"/>
      <c r="D19" s="533"/>
      <c r="E19" s="533"/>
      <c r="F19" s="533"/>
      <c r="G19" s="533"/>
      <c r="H19" s="533"/>
      <c r="I19" s="533"/>
      <c r="J19" s="533"/>
      <c r="K19" s="533"/>
      <c r="L19" s="533"/>
      <c r="M19" s="533"/>
      <c r="N19" s="533"/>
      <c r="O19" s="533"/>
      <c r="P19" s="533"/>
      <c r="Q19" s="198"/>
      <c r="R19" s="198"/>
      <c r="S19" s="198"/>
      <c r="T19" s="198"/>
      <c r="U19" s="198"/>
      <c r="V19" s="198"/>
      <c r="W19" s="198"/>
      <c r="X19" s="198"/>
      <c r="Y19" s="121"/>
      <c r="Z19" s="198"/>
      <c r="AA19" s="198"/>
      <c r="AB19" s="198"/>
      <c r="AC19" s="277"/>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198"/>
      <c r="DB19" s="198"/>
      <c r="DC19" s="198"/>
      <c r="DD19" s="198"/>
      <c r="DE19" s="198"/>
      <c r="DF19" s="198"/>
      <c r="DG19" s="198"/>
      <c r="DH19" s="198"/>
      <c r="DI19" s="198"/>
      <c r="DJ19" s="198"/>
      <c r="DK19" s="198"/>
      <c r="DL19" s="198"/>
      <c r="DM19" s="198"/>
      <c r="DN19" s="198"/>
      <c r="DO19" s="198"/>
      <c r="DP19" s="198"/>
      <c r="DQ19" s="198"/>
      <c r="DR19" s="198"/>
      <c r="DS19" s="198"/>
      <c r="DT19" s="198"/>
      <c r="DU19" s="198"/>
      <c r="DV19" s="198"/>
      <c r="DW19" s="198"/>
      <c r="DX19" s="198"/>
      <c r="DY19" s="198"/>
      <c r="DZ19" s="198"/>
      <c r="EA19" s="198"/>
    </row>
    <row r="20" spans="1:131" s="21" customFormat="1" ht="43" x14ac:dyDescent="0.2">
      <c r="A20" s="121"/>
      <c r="B20" s="257" t="s">
        <v>847</v>
      </c>
      <c r="C20" s="274"/>
      <c r="D20" s="486" t="s">
        <v>75</v>
      </c>
      <c r="E20" s="486"/>
      <c r="F20" s="486"/>
      <c r="G20" s="486" t="s">
        <v>76</v>
      </c>
      <c r="H20" s="486"/>
      <c r="I20" s="486"/>
      <c r="J20" s="486" t="s">
        <v>898</v>
      </c>
      <c r="K20" s="486"/>
      <c r="L20" s="534" t="s">
        <v>845</v>
      </c>
      <c r="M20" s="534"/>
      <c r="N20" s="486" t="s">
        <v>311</v>
      </c>
      <c r="O20" s="486"/>
      <c r="P20" s="128" t="s">
        <v>816</v>
      </c>
      <c r="Q20" s="159" t="s">
        <v>74</v>
      </c>
      <c r="R20" s="159" t="s">
        <v>170</v>
      </c>
      <c r="S20" s="159" t="s">
        <v>173</v>
      </c>
      <c r="T20" s="159" t="s">
        <v>171</v>
      </c>
      <c r="U20" s="159" t="s">
        <v>168</v>
      </c>
      <c r="V20" s="159" t="s">
        <v>172</v>
      </c>
      <c r="W20" s="159" t="s">
        <v>169</v>
      </c>
      <c r="X20" s="159" t="s">
        <v>185</v>
      </c>
      <c r="Y20" s="159" t="s">
        <v>18</v>
      </c>
      <c r="Z20" s="159" t="s">
        <v>17</v>
      </c>
      <c r="AA20" s="159" t="s">
        <v>542</v>
      </c>
      <c r="AB20" s="121"/>
      <c r="AC20" s="257" t="s">
        <v>548</v>
      </c>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1"/>
      <c r="DV20" s="121"/>
      <c r="DW20" s="121"/>
      <c r="DX20" s="121"/>
      <c r="DY20" s="121"/>
      <c r="DZ20" s="121"/>
      <c r="EA20" s="121"/>
    </row>
    <row r="21" spans="1:131" s="21" customFormat="1" ht="27" customHeight="1" x14ac:dyDescent="0.15">
      <c r="A21" s="121"/>
      <c r="B21" s="140"/>
      <c r="C21" s="274"/>
      <c r="D21" s="332"/>
      <c r="E21" s="332"/>
      <c r="F21" s="332"/>
      <c r="G21" s="332"/>
      <c r="H21" s="332"/>
      <c r="I21" s="332"/>
      <c r="J21" s="536" t="s">
        <v>897</v>
      </c>
      <c r="K21" s="536"/>
      <c r="L21" s="537" t="s">
        <v>662</v>
      </c>
      <c r="M21" s="537"/>
      <c r="N21" s="537" t="s">
        <v>663</v>
      </c>
      <c r="O21" s="537"/>
      <c r="P21" s="345" t="s">
        <v>664</v>
      </c>
      <c r="Q21" s="159"/>
      <c r="R21" s="159"/>
      <c r="S21" s="159"/>
      <c r="T21" s="159"/>
      <c r="U21" s="159"/>
      <c r="V21" s="159"/>
      <c r="W21" s="159"/>
      <c r="X21" s="159"/>
      <c r="Y21" s="159"/>
      <c r="Z21" s="159"/>
      <c r="AA21" s="159"/>
      <c r="AB21" s="121"/>
      <c r="AC21" s="257"/>
      <c r="AD21" s="121"/>
      <c r="AE21" s="121"/>
      <c r="AF21" s="198"/>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row>
    <row r="22" spans="1:131" s="199" customFormat="1" ht="13" x14ac:dyDescent="0.15">
      <c r="A22" s="198"/>
      <c r="B22" s="529" t="s">
        <v>19</v>
      </c>
      <c r="C22" s="530"/>
      <c r="D22" s="523"/>
      <c r="E22" s="525"/>
      <c r="F22" s="524"/>
      <c r="G22" s="526"/>
      <c r="H22" s="527"/>
      <c r="I22" s="528"/>
      <c r="J22" s="523"/>
      <c r="K22" s="525"/>
      <c r="L22" s="523" t="s">
        <v>310</v>
      </c>
      <c r="M22" s="524"/>
      <c r="N22" s="521">
        <v>12</v>
      </c>
      <c r="O22" s="522"/>
      <c r="P22" s="394" t="s">
        <v>310</v>
      </c>
      <c r="Q22" s="169">
        <f>IF(T22,VLOOKUP(B22,'Emissions Factors'!$B$145:$F$152,3,FALSE),0)</f>
        <v>0</v>
      </c>
      <c r="R22" s="169">
        <f t="shared" ref="R22:R66" si="0">N22/12</f>
        <v>1</v>
      </c>
      <c r="S22" s="168">
        <f>VLOOKUP(B22,'Emissions Factors'!$B$145:$F$152,2,FALSE)</f>
        <v>0.01</v>
      </c>
      <c r="T22" s="169" t="b">
        <f t="shared" ref="T22:T66" si="1">IF(L22="Yes",TRUE,FALSE)</f>
        <v>0</v>
      </c>
      <c r="U22" s="168">
        <f>IF(W22,VLOOKUP(B22,'Emissions Factors'!$B$145:$F$152,4,FALSE),0)</f>
        <v>0</v>
      </c>
      <c r="V22" s="168">
        <f>VLOOKUP(B22,'Emissions Factors'!$B$145:$F$152,5,FALSE)</f>
        <v>0.7</v>
      </c>
      <c r="W22" s="169" t="b">
        <f t="shared" ref="W22:W66" si="2">IF(P22="Yes",TRUE,FALSE)</f>
        <v>0</v>
      </c>
      <c r="X22" s="170">
        <f>(G22*Q22*R22)+(G22*S22)+(G22*U22*(1-V22))</f>
        <v>0</v>
      </c>
      <c r="Y22" s="171">
        <f>X22*'Emissions Factors'!$C$24</f>
        <v>0</v>
      </c>
      <c r="Z22" s="144">
        <f>IF(ISERROR(VLOOKUP(J22,'Emissions Factors'!$B$80:$C$132,2,0))=TRUE,0,VLOOKUP(J22,'Emissions Factors'!$B$80:$C$132,2,0))</f>
        <v>0</v>
      </c>
      <c r="AA22" s="162">
        <f>Y22*Z22</f>
        <v>0</v>
      </c>
      <c r="AB22" s="282"/>
      <c r="AC22" s="418">
        <f>AA22</f>
        <v>0</v>
      </c>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8"/>
      <c r="CQ22" s="198"/>
      <c r="CR22" s="198"/>
      <c r="CS22" s="198"/>
      <c r="CT22" s="198"/>
      <c r="CU22" s="198"/>
      <c r="CV22" s="198"/>
      <c r="CW22" s="198"/>
      <c r="CX22" s="198"/>
      <c r="CY22" s="198"/>
      <c r="CZ22" s="198"/>
      <c r="DA22" s="198"/>
      <c r="DB22" s="198"/>
      <c r="DC22" s="198"/>
      <c r="DD22" s="198"/>
      <c r="DE22" s="198"/>
      <c r="DF22" s="198"/>
      <c r="DG22" s="198"/>
      <c r="DH22" s="198"/>
      <c r="DI22" s="198"/>
      <c r="DJ22" s="198"/>
      <c r="DK22" s="198"/>
      <c r="DL22" s="198"/>
      <c r="DM22" s="198"/>
      <c r="DN22" s="198"/>
      <c r="DO22" s="198"/>
      <c r="DP22" s="198"/>
      <c r="DQ22" s="198"/>
      <c r="DR22" s="198"/>
      <c r="DS22" s="198"/>
      <c r="DT22" s="198"/>
      <c r="DU22" s="198"/>
      <c r="DV22" s="198"/>
      <c r="DW22" s="198"/>
      <c r="DX22" s="198"/>
      <c r="DY22" s="198"/>
      <c r="DZ22" s="198"/>
      <c r="EA22" s="198"/>
    </row>
    <row r="23" spans="1:131" s="199" customFormat="1" ht="13" x14ac:dyDescent="0.15">
      <c r="A23" s="198"/>
      <c r="B23" s="529" t="s">
        <v>19</v>
      </c>
      <c r="C23" s="530"/>
      <c r="D23" s="523"/>
      <c r="E23" s="525"/>
      <c r="F23" s="524"/>
      <c r="G23" s="526"/>
      <c r="H23" s="527"/>
      <c r="I23" s="528"/>
      <c r="J23" s="523"/>
      <c r="K23" s="525"/>
      <c r="L23" s="523" t="s">
        <v>310</v>
      </c>
      <c r="M23" s="524"/>
      <c r="N23" s="521">
        <v>12</v>
      </c>
      <c r="O23" s="522"/>
      <c r="P23" s="394" t="s">
        <v>310</v>
      </c>
      <c r="Q23" s="169">
        <f>IF(T23,VLOOKUP(B23,'Emissions Factors'!$B$145:$F$152,3,FALSE),0)</f>
        <v>0</v>
      </c>
      <c r="R23" s="169">
        <f t="shared" si="0"/>
        <v>1</v>
      </c>
      <c r="S23" s="168">
        <f>VLOOKUP(B23,'Emissions Factors'!$B$145:$F$152,2,FALSE)</f>
        <v>0.01</v>
      </c>
      <c r="T23" s="169" t="b">
        <f t="shared" si="1"/>
        <v>0</v>
      </c>
      <c r="U23" s="168">
        <f>IF(W23,VLOOKUP(B23,'Emissions Factors'!$B$145:$F$152,4,FALSE),0)</f>
        <v>0</v>
      </c>
      <c r="V23" s="168">
        <f>VLOOKUP(B23,'Emissions Factors'!$B$145:$F$152,5,FALSE)</f>
        <v>0.7</v>
      </c>
      <c r="W23" s="169" t="b">
        <f t="shared" si="2"/>
        <v>0</v>
      </c>
      <c r="X23" s="170">
        <f t="shared" ref="X23:X66" si="3">(G23*Q23*R23)+(G23*S23)+(G23*U23*(1-V23))</f>
        <v>0</v>
      </c>
      <c r="Y23" s="171">
        <f>X23*'Emissions Factors'!$C$24</f>
        <v>0</v>
      </c>
      <c r="Z23" s="144">
        <f>IF(ISERROR(VLOOKUP(J23,'Emissions Factors'!$B$80:$C$132,2,0))=TRUE,0,VLOOKUP(J23,'Emissions Factors'!$B$80:$C$132,2,0))</f>
        <v>0</v>
      </c>
      <c r="AA23" s="162">
        <f t="shared" ref="AA23:AA37" si="4">Y23*Z23</f>
        <v>0</v>
      </c>
      <c r="AB23" s="282"/>
      <c r="AC23" s="418">
        <f t="shared" ref="AC23:AC66" si="5">AA23</f>
        <v>0</v>
      </c>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8"/>
      <c r="BR23" s="198"/>
      <c r="BS23" s="198"/>
      <c r="BT23" s="198"/>
      <c r="BU23" s="198"/>
      <c r="BV23" s="198"/>
      <c r="BW23" s="198"/>
      <c r="BX23" s="198"/>
      <c r="BY23" s="198"/>
      <c r="BZ23" s="198"/>
      <c r="CA23" s="198"/>
      <c r="CB23" s="198"/>
      <c r="CC23" s="198"/>
      <c r="CD23" s="198"/>
      <c r="CE23" s="198"/>
      <c r="CF23" s="198"/>
      <c r="CG23" s="198"/>
      <c r="CH23" s="198"/>
      <c r="CI23" s="198"/>
      <c r="CJ23" s="198"/>
      <c r="CK23" s="198"/>
      <c r="CL23" s="198"/>
      <c r="CM23" s="198"/>
      <c r="CN23" s="198"/>
      <c r="CO23" s="198"/>
      <c r="CP23" s="198"/>
      <c r="CQ23" s="198"/>
      <c r="CR23" s="198"/>
      <c r="CS23" s="198"/>
      <c r="CT23" s="198"/>
      <c r="CU23" s="198"/>
      <c r="CV23" s="198"/>
      <c r="CW23" s="198"/>
      <c r="CX23" s="198"/>
      <c r="CY23" s="198"/>
      <c r="CZ23" s="198"/>
      <c r="DA23" s="198"/>
      <c r="DB23" s="198"/>
      <c r="DC23" s="198"/>
      <c r="DD23" s="198"/>
      <c r="DE23" s="198"/>
      <c r="DF23" s="198"/>
      <c r="DG23" s="198"/>
      <c r="DH23" s="198"/>
      <c r="DI23" s="198"/>
      <c r="DJ23" s="198"/>
      <c r="DK23" s="198"/>
      <c r="DL23" s="198"/>
      <c r="DM23" s="198"/>
      <c r="DN23" s="198"/>
      <c r="DO23" s="198"/>
      <c r="DP23" s="198"/>
      <c r="DQ23" s="198"/>
      <c r="DR23" s="198"/>
      <c r="DS23" s="198"/>
      <c r="DT23" s="198"/>
      <c r="DU23" s="198"/>
      <c r="DV23" s="198"/>
      <c r="DW23" s="198"/>
      <c r="DX23" s="198"/>
      <c r="DY23" s="198"/>
      <c r="DZ23" s="198"/>
      <c r="EA23" s="198"/>
    </row>
    <row r="24" spans="1:131" s="199" customFormat="1" ht="13" x14ac:dyDescent="0.15">
      <c r="A24" s="198"/>
      <c r="B24" s="529" t="s">
        <v>19</v>
      </c>
      <c r="C24" s="530"/>
      <c r="D24" s="523"/>
      <c r="E24" s="525"/>
      <c r="F24" s="524"/>
      <c r="G24" s="526"/>
      <c r="H24" s="527"/>
      <c r="I24" s="528"/>
      <c r="J24" s="523"/>
      <c r="K24" s="525"/>
      <c r="L24" s="523" t="s">
        <v>310</v>
      </c>
      <c r="M24" s="524"/>
      <c r="N24" s="521">
        <v>12</v>
      </c>
      <c r="O24" s="522"/>
      <c r="P24" s="394" t="s">
        <v>310</v>
      </c>
      <c r="Q24" s="169">
        <f>IF(T24,VLOOKUP(B24,'Emissions Factors'!$B$145:$F$152,3,FALSE),0)</f>
        <v>0</v>
      </c>
      <c r="R24" s="169">
        <f t="shared" si="0"/>
        <v>1</v>
      </c>
      <c r="S24" s="168">
        <f>VLOOKUP(B24,'Emissions Factors'!$B$145:$F$152,2,FALSE)</f>
        <v>0.01</v>
      </c>
      <c r="T24" s="169" t="b">
        <f t="shared" si="1"/>
        <v>0</v>
      </c>
      <c r="U24" s="168">
        <f>IF(W24,VLOOKUP(B24,'Emissions Factors'!$B$145:$F$152,4,FALSE),0)</f>
        <v>0</v>
      </c>
      <c r="V24" s="168">
        <f>VLOOKUP(B24,'Emissions Factors'!$B$145:$F$152,5,FALSE)</f>
        <v>0.7</v>
      </c>
      <c r="W24" s="169" t="b">
        <f t="shared" si="2"/>
        <v>0</v>
      </c>
      <c r="X24" s="170">
        <f t="shared" si="3"/>
        <v>0</v>
      </c>
      <c r="Y24" s="171">
        <f>X24*'Emissions Factors'!$C$24</f>
        <v>0</v>
      </c>
      <c r="Z24" s="144">
        <f>IF(ISERROR(VLOOKUP(J24,'Emissions Factors'!$B$80:$C$132,2,0))=TRUE,0,VLOOKUP(J24,'Emissions Factors'!$B$80:$C$132,2,0))</f>
        <v>0</v>
      </c>
      <c r="AA24" s="162">
        <f t="shared" si="4"/>
        <v>0</v>
      </c>
      <c r="AB24" s="282"/>
      <c r="AC24" s="418">
        <f t="shared" si="5"/>
        <v>0</v>
      </c>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c r="CC24" s="198"/>
      <c r="CD24" s="198"/>
      <c r="CE24" s="198"/>
      <c r="CF24" s="198"/>
      <c r="CG24" s="198"/>
      <c r="CH24" s="198"/>
      <c r="CI24" s="198"/>
      <c r="CJ24" s="198"/>
      <c r="CK24" s="198"/>
      <c r="CL24" s="198"/>
      <c r="CM24" s="198"/>
      <c r="CN24" s="198"/>
      <c r="CO24" s="198"/>
      <c r="CP24" s="198"/>
      <c r="CQ24" s="198"/>
      <c r="CR24" s="198"/>
      <c r="CS24" s="198"/>
      <c r="CT24" s="198"/>
      <c r="CU24" s="198"/>
      <c r="CV24" s="198"/>
      <c r="CW24" s="198"/>
      <c r="CX24" s="198"/>
      <c r="CY24" s="198"/>
      <c r="CZ24" s="198"/>
      <c r="DA24" s="198"/>
      <c r="DB24" s="198"/>
      <c r="DC24" s="198"/>
      <c r="DD24" s="198"/>
      <c r="DE24" s="198"/>
      <c r="DF24" s="198"/>
      <c r="DG24" s="198"/>
      <c r="DH24" s="198"/>
      <c r="DI24" s="198"/>
      <c r="DJ24" s="198"/>
      <c r="DK24" s="198"/>
      <c r="DL24" s="198"/>
      <c r="DM24" s="198"/>
      <c r="DN24" s="198"/>
      <c r="DO24" s="198"/>
      <c r="DP24" s="198"/>
      <c r="DQ24" s="198"/>
      <c r="DR24" s="198"/>
      <c r="DS24" s="198"/>
      <c r="DT24" s="198"/>
      <c r="DU24" s="198"/>
      <c r="DV24" s="198"/>
      <c r="DW24" s="198"/>
      <c r="DX24" s="198"/>
      <c r="DY24" s="198"/>
      <c r="DZ24" s="198"/>
      <c r="EA24" s="198"/>
    </row>
    <row r="25" spans="1:131" s="199" customFormat="1" ht="13" x14ac:dyDescent="0.15">
      <c r="A25" s="198"/>
      <c r="B25" s="529" t="s">
        <v>19</v>
      </c>
      <c r="C25" s="530"/>
      <c r="D25" s="523"/>
      <c r="E25" s="525"/>
      <c r="F25" s="524"/>
      <c r="G25" s="526"/>
      <c r="H25" s="527"/>
      <c r="I25" s="528"/>
      <c r="J25" s="523"/>
      <c r="K25" s="525"/>
      <c r="L25" s="523" t="s">
        <v>310</v>
      </c>
      <c r="M25" s="524"/>
      <c r="N25" s="521">
        <v>12</v>
      </c>
      <c r="O25" s="522"/>
      <c r="P25" s="394" t="s">
        <v>310</v>
      </c>
      <c r="Q25" s="169">
        <f>IF(T25,VLOOKUP(B25,'Emissions Factors'!$B$145:$F$152,3,FALSE),0)</f>
        <v>0</v>
      </c>
      <c r="R25" s="169">
        <f t="shared" si="0"/>
        <v>1</v>
      </c>
      <c r="S25" s="168">
        <f>VLOOKUP(B25,'Emissions Factors'!$B$145:$F$152,2,FALSE)</f>
        <v>0.01</v>
      </c>
      <c r="T25" s="169" t="b">
        <f t="shared" si="1"/>
        <v>0</v>
      </c>
      <c r="U25" s="168">
        <f>IF(W25,VLOOKUP(B25,'Emissions Factors'!$B$145:$F$152,4,FALSE),0)</f>
        <v>0</v>
      </c>
      <c r="V25" s="168">
        <f>VLOOKUP(B25,'Emissions Factors'!$B$145:$F$152,5,FALSE)</f>
        <v>0.7</v>
      </c>
      <c r="W25" s="169" t="b">
        <f t="shared" si="2"/>
        <v>0</v>
      </c>
      <c r="X25" s="170">
        <f t="shared" si="3"/>
        <v>0</v>
      </c>
      <c r="Y25" s="171">
        <f>X25*'Emissions Factors'!$C$24</f>
        <v>0</v>
      </c>
      <c r="Z25" s="144">
        <f>IF(ISERROR(VLOOKUP(J25,'Emissions Factors'!$B$80:$C$132,2,0))=TRUE,0,VLOOKUP(J25,'Emissions Factors'!$B$80:$C$132,2,0))</f>
        <v>0</v>
      </c>
      <c r="AA25" s="162">
        <f t="shared" si="4"/>
        <v>0</v>
      </c>
      <c r="AB25" s="282"/>
      <c r="AC25" s="418">
        <f t="shared" si="5"/>
        <v>0</v>
      </c>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c r="CF25" s="198"/>
      <c r="CG25" s="198"/>
      <c r="CH25" s="198"/>
      <c r="CI25" s="198"/>
      <c r="CJ25" s="198"/>
      <c r="CK25" s="198"/>
      <c r="CL25" s="198"/>
      <c r="CM25" s="198"/>
      <c r="CN25" s="198"/>
      <c r="CO25" s="198"/>
      <c r="CP25" s="198"/>
      <c r="CQ25" s="198"/>
      <c r="CR25" s="198"/>
      <c r="CS25" s="198"/>
      <c r="CT25" s="198"/>
      <c r="CU25" s="198"/>
      <c r="CV25" s="198"/>
      <c r="CW25" s="198"/>
      <c r="CX25" s="198"/>
      <c r="CY25" s="198"/>
      <c r="CZ25" s="198"/>
      <c r="DA25" s="198"/>
      <c r="DB25" s="198"/>
      <c r="DC25" s="198"/>
      <c r="DD25" s="198"/>
      <c r="DE25" s="198"/>
      <c r="DF25" s="198"/>
      <c r="DG25" s="198"/>
      <c r="DH25" s="198"/>
      <c r="DI25" s="198"/>
      <c r="DJ25" s="198"/>
      <c r="DK25" s="198"/>
      <c r="DL25" s="198"/>
      <c r="DM25" s="198"/>
      <c r="DN25" s="198"/>
      <c r="DO25" s="198"/>
      <c r="DP25" s="198"/>
      <c r="DQ25" s="198"/>
      <c r="DR25" s="198"/>
      <c r="DS25" s="198"/>
      <c r="DT25" s="198"/>
      <c r="DU25" s="198"/>
      <c r="DV25" s="198"/>
      <c r="DW25" s="198"/>
      <c r="DX25" s="198"/>
      <c r="DY25" s="198"/>
      <c r="DZ25" s="198"/>
      <c r="EA25" s="198"/>
    </row>
    <row r="26" spans="1:131" s="199" customFormat="1" ht="13" x14ac:dyDescent="0.15">
      <c r="A26" s="198"/>
      <c r="B26" s="529" t="s">
        <v>19</v>
      </c>
      <c r="C26" s="530"/>
      <c r="D26" s="523"/>
      <c r="E26" s="525"/>
      <c r="F26" s="524"/>
      <c r="G26" s="526"/>
      <c r="H26" s="527"/>
      <c r="I26" s="528"/>
      <c r="J26" s="523"/>
      <c r="K26" s="525"/>
      <c r="L26" s="523" t="s">
        <v>310</v>
      </c>
      <c r="M26" s="524"/>
      <c r="N26" s="521">
        <v>12</v>
      </c>
      <c r="O26" s="522"/>
      <c r="P26" s="394" t="s">
        <v>310</v>
      </c>
      <c r="Q26" s="169">
        <f>IF(T26,VLOOKUP(B26,'Emissions Factors'!$B$145:$F$152,3,FALSE),0)</f>
        <v>0</v>
      </c>
      <c r="R26" s="169">
        <f t="shared" si="0"/>
        <v>1</v>
      </c>
      <c r="S26" s="168">
        <f>VLOOKUP(B26,'Emissions Factors'!$B$145:$F$152,2,FALSE)</f>
        <v>0.01</v>
      </c>
      <c r="T26" s="169" t="b">
        <f t="shared" si="1"/>
        <v>0</v>
      </c>
      <c r="U26" s="168">
        <f>IF(W26,VLOOKUP(B26,'Emissions Factors'!$B$145:$F$152,4,FALSE),0)</f>
        <v>0</v>
      </c>
      <c r="V26" s="168">
        <f>VLOOKUP(B26,'Emissions Factors'!$B$145:$F$152,5,FALSE)</f>
        <v>0.7</v>
      </c>
      <c r="W26" s="169" t="b">
        <f t="shared" si="2"/>
        <v>0</v>
      </c>
      <c r="X26" s="170">
        <f t="shared" si="3"/>
        <v>0</v>
      </c>
      <c r="Y26" s="171">
        <f>X26*'Emissions Factors'!$C$24</f>
        <v>0</v>
      </c>
      <c r="Z26" s="144">
        <f>IF(ISERROR(VLOOKUP(J26,'Emissions Factors'!$B$80:$C$132,2,0))=TRUE,0,VLOOKUP(J26,'Emissions Factors'!$B$80:$C$132,2,0))</f>
        <v>0</v>
      </c>
      <c r="AA26" s="162">
        <f t="shared" si="4"/>
        <v>0</v>
      </c>
      <c r="AB26" s="282"/>
      <c r="AC26" s="418">
        <f t="shared" si="5"/>
        <v>0</v>
      </c>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198"/>
      <c r="BH26" s="198"/>
      <c r="BI26" s="198"/>
      <c r="BJ26" s="198"/>
      <c r="BK26" s="198"/>
      <c r="BL26" s="198"/>
      <c r="BM26" s="198"/>
      <c r="BN26" s="198"/>
      <c r="BO26" s="198"/>
      <c r="BP26" s="198"/>
      <c r="BQ26" s="198"/>
      <c r="BR26" s="198"/>
      <c r="BS26" s="198"/>
      <c r="BT26" s="198"/>
      <c r="BU26" s="198"/>
      <c r="BV26" s="198"/>
      <c r="BW26" s="198"/>
      <c r="BX26" s="198"/>
      <c r="BY26" s="198"/>
      <c r="BZ26" s="198"/>
      <c r="CA26" s="198"/>
      <c r="CB26" s="198"/>
      <c r="CC26" s="198"/>
      <c r="CD26" s="198"/>
      <c r="CE26" s="198"/>
      <c r="CF26" s="198"/>
      <c r="CG26" s="198"/>
      <c r="CH26" s="198"/>
      <c r="CI26" s="198"/>
      <c r="CJ26" s="198"/>
      <c r="CK26" s="198"/>
      <c r="CL26" s="198"/>
      <c r="CM26" s="198"/>
      <c r="CN26" s="198"/>
      <c r="CO26" s="198"/>
      <c r="CP26" s="198"/>
      <c r="CQ26" s="198"/>
      <c r="CR26" s="198"/>
      <c r="CS26" s="198"/>
      <c r="CT26" s="198"/>
      <c r="CU26" s="198"/>
      <c r="CV26" s="198"/>
      <c r="CW26" s="198"/>
      <c r="CX26" s="198"/>
      <c r="CY26" s="198"/>
      <c r="CZ26" s="198"/>
      <c r="DA26" s="198"/>
      <c r="DB26" s="198"/>
      <c r="DC26" s="198"/>
      <c r="DD26" s="198"/>
      <c r="DE26" s="198"/>
      <c r="DF26" s="198"/>
      <c r="DG26" s="198"/>
      <c r="DH26" s="198"/>
      <c r="DI26" s="198"/>
      <c r="DJ26" s="198"/>
      <c r="DK26" s="198"/>
      <c r="DL26" s="198"/>
      <c r="DM26" s="198"/>
      <c r="DN26" s="198"/>
      <c r="DO26" s="198"/>
      <c r="DP26" s="198"/>
      <c r="DQ26" s="198"/>
      <c r="DR26" s="198"/>
      <c r="DS26" s="198"/>
      <c r="DT26" s="198"/>
      <c r="DU26" s="198"/>
      <c r="DV26" s="198"/>
      <c r="DW26" s="198"/>
      <c r="DX26" s="198"/>
      <c r="DY26" s="198"/>
      <c r="DZ26" s="198"/>
      <c r="EA26" s="198"/>
    </row>
    <row r="27" spans="1:131" s="199" customFormat="1" ht="13" x14ac:dyDescent="0.15">
      <c r="A27" s="198"/>
      <c r="B27" s="529" t="s">
        <v>20</v>
      </c>
      <c r="C27" s="530"/>
      <c r="D27" s="523"/>
      <c r="E27" s="525"/>
      <c r="F27" s="524"/>
      <c r="G27" s="526"/>
      <c r="H27" s="527"/>
      <c r="I27" s="528"/>
      <c r="J27" s="523"/>
      <c r="K27" s="525"/>
      <c r="L27" s="523" t="s">
        <v>310</v>
      </c>
      <c r="M27" s="524"/>
      <c r="N27" s="521">
        <v>12</v>
      </c>
      <c r="O27" s="522"/>
      <c r="P27" s="394" t="s">
        <v>310</v>
      </c>
      <c r="Q27" s="169">
        <f>IF(T27,VLOOKUP(B27,'Emissions Factors'!$B$145:$F$152,3,FALSE),0)</f>
        <v>0</v>
      </c>
      <c r="R27" s="169">
        <f t="shared" si="0"/>
        <v>1</v>
      </c>
      <c r="S27" s="168">
        <f>VLOOKUP(B27,'Emissions Factors'!$B$145:$F$152,2,FALSE)</f>
        <v>0.03</v>
      </c>
      <c r="T27" s="169" t="b">
        <f t="shared" si="1"/>
        <v>0</v>
      </c>
      <c r="U27" s="168">
        <f>IF(W27,VLOOKUP(B27,'Emissions Factors'!$B$145:$F$152,4,FALSE),0)</f>
        <v>0</v>
      </c>
      <c r="V27" s="168">
        <f>VLOOKUP(B27,'Emissions Factors'!$B$145:$F$152,5,FALSE)</f>
        <v>0.7</v>
      </c>
      <c r="W27" s="169" t="b">
        <f t="shared" si="2"/>
        <v>0</v>
      </c>
      <c r="X27" s="170">
        <f t="shared" si="3"/>
        <v>0</v>
      </c>
      <c r="Y27" s="171">
        <f>X27*'Emissions Factors'!$C$24</f>
        <v>0</v>
      </c>
      <c r="Z27" s="144">
        <f>IF(ISERROR(VLOOKUP(J27,'Emissions Factors'!$B$80:$C$132,2,0))=TRUE,0,VLOOKUP(J27,'Emissions Factors'!$B$80:$C$132,2,0))</f>
        <v>0</v>
      </c>
      <c r="AA27" s="162">
        <f t="shared" si="4"/>
        <v>0</v>
      </c>
      <c r="AB27" s="282"/>
      <c r="AC27" s="418">
        <f t="shared" si="5"/>
        <v>0</v>
      </c>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198"/>
      <c r="BH27" s="198"/>
      <c r="BI27" s="198"/>
      <c r="BJ27" s="198"/>
      <c r="BK27" s="198"/>
      <c r="BL27" s="198"/>
      <c r="BM27" s="198"/>
      <c r="BN27" s="198"/>
      <c r="BO27" s="198"/>
      <c r="BP27" s="198"/>
      <c r="BQ27" s="198"/>
      <c r="BR27" s="198"/>
      <c r="BS27" s="198"/>
      <c r="BT27" s="198"/>
      <c r="BU27" s="198"/>
      <c r="BV27" s="198"/>
      <c r="BW27" s="198"/>
      <c r="BX27" s="198"/>
      <c r="BY27" s="198"/>
      <c r="BZ27" s="198"/>
      <c r="CA27" s="198"/>
      <c r="CB27" s="198"/>
      <c r="CC27" s="198"/>
      <c r="CD27" s="198"/>
      <c r="CE27" s="198"/>
      <c r="CF27" s="198"/>
      <c r="CG27" s="198"/>
      <c r="CH27" s="198"/>
      <c r="CI27" s="198"/>
      <c r="CJ27" s="198"/>
      <c r="CK27" s="198"/>
      <c r="CL27" s="198"/>
      <c r="CM27" s="198"/>
      <c r="CN27" s="198"/>
      <c r="CO27" s="198"/>
      <c r="CP27" s="198"/>
      <c r="CQ27" s="198"/>
      <c r="CR27" s="198"/>
      <c r="CS27" s="198"/>
      <c r="CT27" s="198"/>
      <c r="CU27" s="198"/>
      <c r="CV27" s="198"/>
      <c r="CW27" s="198"/>
      <c r="CX27" s="198"/>
      <c r="CY27" s="198"/>
      <c r="CZ27" s="198"/>
      <c r="DA27" s="198"/>
      <c r="DB27" s="198"/>
      <c r="DC27" s="198"/>
      <c r="DD27" s="198"/>
      <c r="DE27" s="198"/>
      <c r="DF27" s="198"/>
      <c r="DG27" s="198"/>
      <c r="DH27" s="198"/>
      <c r="DI27" s="198"/>
      <c r="DJ27" s="198"/>
      <c r="DK27" s="198"/>
      <c r="DL27" s="198"/>
      <c r="DM27" s="198"/>
      <c r="DN27" s="198"/>
      <c r="DO27" s="198"/>
      <c r="DP27" s="198"/>
      <c r="DQ27" s="198"/>
      <c r="DR27" s="198"/>
      <c r="DS27" s="198"/>
      <c r="DT27" s="198"/>
      <c r="DU27" s="198"/>
      <c r="DV27" s="198"/>
      <c r="DW27" s="198"/>
      <c r="DX27" s="198"/>
      <c r="DY27" s="198"/>
      <c r="DZ27" s="198"/>
      <c r="EA27" s="198"/>
    </row>
    <row r="28" spans="1:131" s="199" customFormat="1" ht="13" x14ac:dyDescent="0.15">
      <c r="A28" s="198"/>
      <c r="B28" s="529" t="s">
        <v>20</v>
      </c>
      <c r="C28" s="530"/>
      <c r="D28" s="523"/>
      <c r="E28" s="525"/>
      <c r="F28" s="524"/>
      <c r="G28" s="526"/>
      <c r="H28" s="527"/>
      <c r="I28" s="528"/>
      <c r="J28" s="523"/>
      <c r="K28" s="525"/>
      <c r="L28" s="523" t="s">
        <v>310</v>
      </c>
      <c r="M28" s="524"/>
      <c r="N28" s="521">
        <v>12</v>
      </c>
      <c r="O28" s="522"/>
      <c r="P28" s="394" t="s">
        <v>310</v>
      </c>
      <c r="Q28" s="169">
        <f>IF(T28,VLOOKUP(B28,'Emissions Factors'!$B$145:$F$152,3,FALSE),0)</f>
        <v>0</v>
      </c>
      <c r="R28" s="169">
        <f t="shared" si="0"/>
        <v>1</v>
      </c>
      <c r="S28" s="168">
        <f>VLOOKUP(B28,'Emissions Factors'!$B$145:$F$152,2,FALSE)</f>
        <v>0.03</v>
      </c>
      <c r="T28" s="169" t="b">
        <f t="shared" si="1"/>
        <v>0</v>
      </c>
      <c r="U28" s="168">
        <f>IF(W28,VLOOKUP(B28,'Emissions Factors'!$B$145:$F$152,4,FALSE),0)</f>
        <v>0</v>
      </c>
      <c r="V28" s="168">
        <f>VLOOKUP(B28,'Emissions Factors'!$B$145:$F$152,5,FALSE)</f>
        <v>0.7</v>
      </c>
      <c r="W28" s="169" t="b">
        <f t="shared" si="2"/>
        <v>0</v>
      </c>
      <c r="X28" s="170">
        <f t="shared" si="3"/>
        <v>0</v>
      </c>
      <c r="Y28" s="171">
        <f>X28*'Emissions Factors'!$C$24</f>
        <v>0</v>
      </c>
      <c r="Z28" s="144">
        <f>IF(ISERROR(VLOOKUP(J28,'Emissions Factors'!$B$80:$C$132,2,0))=TRUE,0,VLOOKUP(J28,'Emissions Factors'!$B$80:$C$132,2,0))</f>
        <v>0</v>
      </c>
      <c r="AA28" s="162">
        <f t="shared" si="4"/>
        <v>0</v>
      </c>
      <c r="AB28" s="282"/>
      <c r="AC28" s="418">
        <f t="shared" si="5"/>
        <v>0</v>
      </c>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198"/>
      <c r="BS28" s="198"/>
      <c r="BT28" s="198"/>
      <c r="BU28" s="198"/>
      <c r="BV28" s="198"/>
      <c r="BW28" s="198"/>
      <c r="BX28" s="198"/>
      <c r="BY28" s="198"/>
      <c r="BZ28" s="198"/>
      <c r="CA28" s="198"/>
      <c r="CB28" s="198"/>
      <c r="CC28" s="198"/>
      <c r="CD28" s="198"/>
      <c r="CE28" s="198"/>
      <c r="CF28" s="198"/>
      <c r="CG28" s="198"/>
      <c r="CH28" s="198"/>
      <c r="CI28" s="198"/>
      <c r="CJ28" s="198"/>
      <c r="CK28" s="198"/>
      <c r="CL28" s="198"/>
      <c r="CM28" s="198"/>
      <c r="CN28" s="198"/>
      <c r="CO28" s="198"/>
      <c r="CP28" s="198"/>
      <c r="CQ28" s="198"/>
      <c r="CR28" s="198"/>
      <c r="CS28" s="198"/>
      <c r="CT28" s="198"/>
      <c r="CU28" s="198"/>
      <c r="CV28" s="198"/>
      <c r="CW28" s="198"/>
      <c r="CX28" s="198"/>
      <c r="CY28" s="198"/>
      <c r="CZ28" s="198"/>
      <c r="DA28" s="198"/>
      <c r="DB28" s="198"/>
      <c r="DC28" s="198"/>
      <c r="DD28" s="198"/>
      <c r="DE28" s="198"/>
      <c r="DF28" s="198"/>
      <c r="DG28" s="198"/>
      <c r="DH28" s="198"/>
      <c r="DI28" s="198"/>
      <c r="DJ28" s="198"/>
      <c r="DK28" s="198"/>
      <c r="DL28" s="198"/>
      <c r="DM28" s="198"/>
      <c r="DN28" s="198"/>
      <c r="DO28" s="198"/>
      <c r="DP28" s="198"/>
      <c r="DQ28" s="198"/>
      <c r="DR28" s="198"/>
      <c r="DS28" s="198"/>
      <c r="DT28" s="198"/>
      <c r="DU28" s="198"/>
      <c r="DV28" s="198"/>
      <c r="DW28" s="198"/>
      <c r="DX28" s="198"/>
      <c r="DY28" s="198"/>
      <c r="DZ28" s="198"/>
      <c r="EA28" s="198"/>
    </row>
    <row r="29" spans="1:131" s="199" customFormat="1" ht="13" x14ac:dyDescent="0.15">
      <c r="A29" s="198"/>
      <c r="B29" s="529" t="s">
        <v>20</v>
      </c>
      <c r="C29" s="530"/>
      <c r="D29" s="523"/>
      <c r="E29" s="525"/>
      <c r="F29" s="524"/>
      <c r="G29" s="526"/>
      <c r="H29" s="527"/>
      <c r="I29" s="528"/>
      <c r="J29" s="523"/>
      <c r="K29" s="525"/>
      <c r="L29" s="523" t="s">
        <v>310</v>
      </c>
      <c r="M29" s="524"/>
      <c r="N29" s="521">
        <v>12</v>
      </c>
      <c r="O29" s="522"/>
      <c r="P29" s="394" t="s">
        <v>310</v>
      </c>
      <c r="Q29" s="169">
        <f>IF(T29,VLOOKUP(B29,'Emissions Factors'!$B$145:$F$152,3,FALSE),0)</f>
        <v>0</v>
      </c>
      <c r="R29" s="169">
        <f t="shared" si="0"/>
        <v>1</v>
      </c>
      <c r="S29" s="168">
        <f>VLOOKUP(B29,'Emissions Factors'!$B$145:$F$152,2,FALSE)</f>
        <v>0.03</v>
      </c>
      <c r="T29" s="169" t="b">
        <f t="shared" si="1"/>
        <v>0</v>
      </c>
      <c r="U29" s="168">
        <f>IF(W29,VLOOKUP(B29,'Emissions Factors'!$B$145:$F$152,4,FALSE),0)</f>
        <v>0</v>
      </c>
      <c r="V29" s="168">
        <f>VLOOKUP(B29,'Emissions Factors'!$B$145:$F$152,5,FALSE)</f>
        <v>0.7</v>
      </c>
      <c r="W29" s="169" t="b">
        <f t="shared" si="2"/>
        <v>0</v>
      </c>
      <c r="X29" s="170">
        <f t="shared" si="3"/>
        <v>0</v>
      </c>
      <c r="Y29" s="171">
        <f>X29*'Emissions Factors'!$C$24</f>
        <v>0</v>
      </c>
      <c r="Z29" s="144">
        <f>IF(ISERROR(VLOOKUP(J29,'Emissions Factors'!$B$80:$C$132,2,0))=TRUE,0,VLOOKUP(J29,'Emissions Factors'!$B$80:$C$132,2,0))</f>
        <v>0</v>
      </c>
      <c r="AA29" s="162">
        <f t="shared" si="4"/>
        <v>0</v>
      </c>
      <c r="AB29" s="282"/>
      <c r="AC29" s="418">
        <f t="shared" si="5"/>
        <v>0</v>
      </c>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198"/>
      <c r="BT29" s="198"/>
      <c r="BU29" s="198"/>
      <c r="BV29" s="198"/>
      <c r="BW29" s="198"/>
      <c r="BX29" s="198"/>
      <c r="BY29" s="198"/>
      <c r="BZ29" s="198"/>
      <c r="CA29" s="198"/>
      <c r="CB29" s="198"/>
      <c r="CC29" s="198"/>
      <c r="CD29" s="198"/>
      <c r="CE29" s="198"/>
      <c r="CF29" s="198"/>
      <c r="CG29" s="198"/>
      <c r="CH29" s="198"/>
      <c r="CI29" s="198"/>
      <c r="CJ29" s="198"/>
      <c r="CK29" s="198"/>
      <c r="CL29" s="198"/>
      <c r="CM29" s="198"/>
      <c r="CN29" s="198"/>
      <c r="CO29" s="198"/>
      <c r="CP29" s="198"/>
      <c r="CQ29" s="198"/>
      <c r="CR29" s="198"/>
      <c r="CS29" s="198"/>
      <c r="CT29" s="198"/>
      <c r="CU29" s="198"/>
      <c r="CV29" s="198"/>
      <c r="CW29" s="198"/>
      <c r="CX29" s="198"/>
      <c r="CY29" s="198"/>
      <c r="CZ29" s="198"/>
      <c r="DA29" s="198"/>
      <c r="DB29" s="198"/>
      <c r="DC29" s="198"/>
      <c r="DD29" s="198"/>
      <c r="DE29" s="198"/>
      <c r="DF29" s="198"/>
      <c r="DG29" s="198"/>
      <c r="DH29" s="198"/>
      <c r="DI29" s="198"/>
      <c r="DJ29" s="198"/>
      <c r="DK29" s="198"/>
      <c r="DL29" s="198"/>
      <c r="DM29" s="198"/>
      <c r="DN29" s="198"/>
      <c r="DO29" s="198"/>
      <c r="DP29" s="198"/>
      <c r="DQ29" s="198"/>
      <c r="DR29" s="198"/>
      <c r="DS29" s="198"/>
      <c r="DT29" s="198"/>
      <c r="DU29" s="198"/>
      <c r="DV29" s="198"/>
      <c r="DW29" s="198"/>
      <c r="DX29" s="198"/>
      <c r="DY29" s="198"/>
      <c r="DZ29" s="198"/>
      <c r="EA29" s="198"/>
    </row>
    <row r="30" spans="1:131" s="199" customFormat="1" ht="13" x14ac:dyDescent="0.15">
      <c r="A30" s="198"/>
      <c r="B30" s="529" t="s">
        <v>20</v>
      </c>
      <c r="C30" s="530"/>
      <c r="D30" s="523"/>
      <c r="E30" s="525"/>
      <c r="F30" s="524"/>
      <c r="G30" s="526"/>
      <c r="H30" s="527"/>
      <c r="I30" s="528"/>
      <c r="J30" s="523"/>
      <c r="K30" s="525"/>
      <c r="L30" s="523" t="s">
        <v>310</v>
      </c>
      <c r="M30" s="524"/>
      <c r="N30" s="521">
        <v>12</v>
      </c>
      <c r="O30" s="522"/>
      <c r="P30" s="394" t="s">
        <v>310</v>
      </c>
      <c r="Q30" s="169">
        <f>IF(T30,VLOOKUP(B30,'Emissions Factors'!$B$145:$F$152,3,FALSE),0)</f>
        <v>0</v>
      </c>
      <c r="R30" s="169">
        <f t="shared" si="0"/>
        <v>1</v>
      </c>
      <c r="S30" s="168">
        <f>VLOOKUP(B30,'Emissions Factors'!$B$145:$F$152,2,FALSE)</f>
        <v>0.03</v>
      </c>
      <c r="T30" s="169" t="b">
        <f t="shared" si="1"/>
        <v>0</v>
      </c>
      <c r="U30" s="168">
        <f>IF(W30,VLOOKUP(B30,'Emissions Factors'!$B$145:$F$152,4,FALSE),0)</f>
        <v>0</v>
      </c>
      <c r="V30" s="168">
        <f>VLOOKUP(B30,'Emissions Factors'!$B$145:$F$152,5,FALSE)</f>
        <v>0.7</v>
      </c>
      <c r="W30" s="169" t="b">
        <f t="shared" si="2"/>
        <v>0</v>
      </c>
      <c r="X30" s="170">
        <f t="shared" si="3"/>
        <v>0</v>
      </c>
      <c r="Y30" s="171">
        <f>X30*'Emissions Factors'!$C$24</f>
        <v>0</v>
      </c>
      <c r="Z30" s="144">
        <f>IF(ISERROR(VLOOKUP(J30,'Emissions Factors'!$B$80:$C$132,2,0))=TRUE,0,VLOOKUP(J30,'Emissions Factors'!$B$80:$C$132,2,0))</f>
        <v>0</v>
      </c>
      <c r="AA30" s="162">
        <f t="shared" si="4"/>
        <v>0</v>
      </c>
      <c r="AB30" s="282"/>
      <c r="AC30" s="418">
        <f t="shared" si="5"/>
        <v>0</v>
      </c>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c r="BT30" s="198"/>
      <c r="BU30" s="198"/>
      <c r="BV30" s="198"/>
      <c r="BW30" s="198"/>
      <c r="BX30" s="198"/>
      <c r="BY30" s="198"/>
      <c r="BZ30" s="198"/>
      <c r="CA30" s="198"/>
      <c r="CB30" s="198"/>
      <c r="CC30" s="198"/>
      <c r="CD30" s="198"/>
      <c r="CE30" s="198"/>
      <c r="CF30" s="198"/>
      <c r="CG30" s="198"/>
      <c r="CH30" s="198"/>
      <c r="CI30" s="198"/>
      <c r="CJ30" s="198"/>
      <c r="CK30" s="198"/>
      <c r="CL30" s="198"/>
      <c r="CM30" s="198"/>
      <c r="CN30" s="198"/>
      <c r="CO30" s="198"/>
      <c r="CP30" s="198"/>
      <c r="CQ30" s="198"/>
      <c r="CR30" s="198"/>
      <c r="CS30" s="198"/>
      <c r="CT30" s="198"/>
      <c r="CU30" s="198"/>
      <c r="CV30" s="198"/>
      <c r="CW30" s="198"/>
      <c r="CX30" s="198"/>
      <c r="CY30" s="198"/>
      <c r="CZ30" s="198"/>
      <c r="DA30" s="198"/>
      <c r="DB30" s="198"/>
      <c r="DC30" s="198"/>
      <c r="DD30" s="198"/>
      <c r="DE30" s="198"/>
      <c r="DF30" s="198"/>
      <c r="DG30" s="198"/>
      <c r="DH30" s="198"/>
      <c r="DI30" s="198"/>
      <c r="DJ30" s="198"/>
      <c r="DK30" s="198"/>
      <c r="DL30" s="198"/>
      <c r="DM30" s="198"/>
      <c r="DN30" s="198"/>
      <c r="DO30" s="198"/>
      <c r="DP30" s="198"/>
      <c r="DQ30" s="198"/>
      <c r="DR30" s="198"/>
      <c r="DS30" s="198"/>
      <c r="DT30" s="198"/>
      <c r="DU30" s="198"/>
      <c r="DV30" s="198"/>
      <c r="DW30" s="198"/>
      <c r="DX30" s="198"/>
      <c r="DY30" s="198"/>
      <c r="DZ30" s="198"/>
      <c r="EA30" s="198"/>
    </row>
    <row r="31" spans="1:131" s="199" customFormat="1" ht="13" x14ac:dyDescent="0.15">
      <c r="A31" s="198"/>
      <c r="B31" s="529" t="s">
        <v>20</v>
      </c>
      <c r="C31" s="530"/>
      <c r="D31" s="523"/>
      <c r="E31" s="525"/>
      <c r="F31" s="524"/>
      <c r="G31" s="526"/>
      <c r="H31" s="527"/>
      <c r="I31" s="528"/>
      <c r="J31" s="523"/>
      <c r="K31" s="525"/>
      <c r="L31" s="523" t="s">
        <v>310</v>
      </c>
      <c r="M31" s="524"/>
      <c r="N31" s="521">
        <v>12</v>
      </c>
      <c r="O31" s="522"/>
      <c r="P31" s="394" t="s">
        <v>310</v>
      </c>
      <c r="Q31" s="169">
        <f>IF(T31,VLOOKUP(B31,'Emissions Factors'!$B$145:$F$152,3,FALSE),0)</f>
        <v>0</v>
      </c>
      <c r="R31" s="169">
        <f t="shared" si="0"/>
        <v>1</v>
      </c>
      <c r="S31" s="168">
        <f>VLOOKUP(B31,'Emissions Factors'!$B$145:$F$152,2,FALSE)</f>
        <v>0.03</v>
      </c>
      <c r="T31" s="169" t="b">
        <f t="shared" si="1"/>
        <v>0</v>
      </c>
      <c r="U31" s="168">
        <f>IF(W31,VLOOKUP(B31,'Emissions Factors'!$B$145:$F$152,4,FALSE),0)</f>
        <v>0</v>
      </c>
      <c r="V31" s="168">
        <f>VLOOKUP(B31,'Emissions Factors'!$B$145:$F$152,5,FALSE)</f>
        <v>0.7</v>
      </c>
      <c r="W31" s="169" t="b">
        <f t="shared" si="2"/>
        <v>0</v>
      </c>
      <c r="X31" s="170">
        <f t="shared" si="3"/>
        <v>0</v>
      </c>
      <c r="Y31" s="171">
        <f>X31*'Emissions Factors'!$C$24</f>
        <v>0</v>
      </c>
      <c r="Z31" s="144">
        <f>IF(ISERROR(VLOOKUP(J31,'Emissions Factors'!$B$80:$C$132,2,0))=TRUE,0,VLOOKUP(J31,'Emissions Factors'!$B$80:$C$132,2,0))</f>
        <v>0</v>
      </c>
      <c r="AA31" s="162">
        <f t="shared" si="4"/>
        <v>0</v>
      </c>
      <c r="AB31" s="282"/>
      <c r="AC31" s="418">
        <f t="shared" si="5"/>
        <v>0</v>
      </c>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c r="BS31" s="198"/>
      <c r="BT31" s="198"/>
      <c r="BU31" s="198"/>
      <c r="BV31" s="198"/>
      <c r="BW31" s="198"/>
      <c r="BX31" s="198"/>
      <c r="BY31" s="198"/>
      <c r="BZ31" s="198"/>
      <c r="CA31" s="198"/>
      <c r="CB31" s="198"/>
      <c r="CC31" s="198"/>
      <c r="CD31" s="198"/>
      <c r="CE31" s="198"/>
      <c r="CF31" s="198"/>
      <c r="CG31" s="198"/>
      <c r="CH31" s="198"/>
      <c r="CI31" s="198"/>
      <c r="CJ31" s="198"/>
      <c r="CK31" s="198"/>
      <c r="CL31" s="198"/>
      <c r="CM31" s="198"/>
      <c r="CN31" s="198"/>
      <c r="CO31" s="198"/>
      <c r="CP31" s="198"/>
      <c r="CQ31" s="198"/>
      <c r="CR31" s="198"/>
      <c r="CS31" s="198"/>
      <c r="CT31" s="198"/>
      <c r="CU31" s="198"/>
      <c r="CV31" s="198"/>
      <c r="CW31" s="198"/>
      <c r="CX31" s="198"/>
      <c r="CY31" s="198"/>
      <c r="CZ31" s="198"/>
      <c r="DA31" s="198"/>
      <c r="DB31" s="198"/>
      <c r="DC31" s="198"/>
      <c r="DD31" s="198"/>
      <c r="DE31" s="198"/>
      <c r="DF31" s="198"/>
      <c r="DG31" s="198"/>
      <c r="DH31" s="198"/>
      <c r="DI31" s="198"/>
      <c r="DJ31" s="198"/>
      <c r="DK31" s="198"/>
      <c r="DL31" s="198"/>
      <c r="DM31" s="198"/>
      <c r="DN31" s="198"/>
      <c r="DO31" s="198"/>
      <c r="DP31" s="198"/>
      <c r="DQ31" s="198"/>
      <c r="DR31" s="198"/>
      <c r="DS31" s="198"/>
      <c r="DT31" s="198"/>
      <c r="DU31" s="198"/>
      <c r="DV31" s="198"/>
      <c r="DW31" s="198"/>
      <c r="DX31" s="198"/>
      <c r="DY31" s="198"/>
      <c r="DZ31" s="198"/>
      <c r="EA31" s="198"/>
    </row>
    <row r="32" spans="1:131" s="199" customFormat="1" ht="13" x14ac:dyDescent="0.15">
      <c r="A32" s="198"/>
      <c r="B32" s="529" t="s">
        <v>21</v>
      </c>
      <c r="C32" s="530"/>
      <c r="D32" s="523"/>
      <c r="E32" s="525"/>
      <c r="F32" s="524"/>
      <c r="G32" s="526"/>
      <c r="H32" s="527"/>
      <c r="I32" s="528"/>
      <c r="J32" s="523"/>
      <c r="K32" s="525"/>
      <c r="L32" s="523" t="s">
        <v>310</v>
      </c>
      <c r="M32" s="524"/>
      <c r="N32" s="521">
        <v>12</v>
      </c>
      <c r="O32" s="522"/>
      <c r="P32" s="394" t="s">
        <v>310</v>
      </c>
      <c r="Q32" s="169">
        <f>IF(T32,VLOOKUP(B32,'Emissions Factors'!$B$145:$F$152,3,FALSE),0)</f>
        <v>0</v>
      </c>
      <c r="R32" s="169">
        <f t="shared" si="0"/>
        <v>1</v>
      </c>
      <c r="S32" s="168">
        <f>VLOOKUP(B32,'Emissions Factors'!$B$145:$F$152,2,FALSE)</f>
        <v>0.03</v>
      </c>
      <c r="T32" s="169" t="b">
        <f t="shared" si="1"/>
        <v>0</v>
      </c>
      <c r="U32" s="168">
        <f>IF(W32,VLOOKUP(B32,'Emissions Factors'!$B$145:$F$152,4,FALSE),0)</f>
        <v>0</v>
      </c>
      <c r="V32" s="168">
        <f>VLOOKUP(B32,'Emissions Factors'!$B$145:$F$152,5,FALSE)</f>
        <v>0.7</v>
      </c>
      <c r="W32" s="169" t="b">
        <f t="shared" si="2"/>
        <v>0</v>
      </c>
      <c r="X32" s="170">
        <f t="shared" si="3"/>
        <v>0</v>
      </c>
      <c r="Y32" s="171">
        <f>X32*'Emissions Factors'!$C$24</f>
        <v>0</v>
      </c>
      <c r="Z32" s="144">
        <f>IF(ISERROR(VLOOKUP(J32,'Emissions Factors'!$B$80:$C$132,2,0))=TRUE,0,VLOOKUP(J32,'Emissions Factors'!$B$80:$C$132,2,0))</f>
        <v>0</v>
      </c>
      <c r="AA32" s="162">
        <f t="shared" si="4"/>
        <v>0</v>
      </c>
      <c r="AB32" s="282"/>
      <c r="AC32" s="418">
        <f t="shared" si="5"/>
        <v>0</v>
      </c>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c r="BS32" s="198"/>
      <c r="BT32" s="198"/>
      <c r="BU32" s="198"/>
      <c r="BV32" s="198"/>
      <c r="BW32" s="198"/>
      <c r="BX32" s="198"/>
      <c r="BY32" s="198"/>
      <c r="BZ32" s="198"/>
      <c r="CA32" s="198"/>
      <c r="CB32" s="198"/>
      <c r="CC32" s="198"/>
      <c r="CD32" s="198"/>
      <c r="CE32" s="198"/>
      <c r="CF32" s="198"/>
      <c r="CG32" s="198"/>
      <c r="CH32" s="198"/>
      <c r="CI32" s="198"/>
      <c r="CJ32" s="198"/>
      <c r="CK32" s="198"/>
      <c r="CL32" s="198"/>
      <c r="CM32" s="198"/>
      <c r="CN32" s="198"/>
      <c r="CO32" s="198"/>
      <c r="CP32" s="198"/>
      <c r="CQ32" s="198"/>
      <c r="CR32" s="198"/>
      <c r="CS32" s="198"/>
      <c r="CT32" s="198"/>
      <c r="CU32" s="198"/>
      <c r="CV32" s="198"/>
      <c r="CW32" s="198"/>
      <c r="CX32" s="198"/>
      <c r="CY32" s="198"/>
      <c r="CZ32" s="198"/>
      <c r="DA32" s="198"/>
      <c r="DB32" s="198"/>
      <c r="DC32" s="198"/>
      <c r="DD32" s="198"/>
      <c r="DE32" s="198"/>
      <c r="DF32" s="198"/>
      <c r="DG32" s="198"/>
      <c r="DH32" s="198"/>
      <c r="DI32" s="198"/>
      <c r="DJ32" s="198"/>
      <c r="DK32" s="198"/>
      <c r="DL32" s="198"/>
      <c r="DM32" s="198"/>
      <c r="DN32" s="198"/>
      <c r="DO32" s="198"/>
      <c r="DP32" s="198"/>
      <c r="DQ32" s="198"/>
      <c r="DR32" s="198"/>
      <c r="DS32" s="198"/>
      <c r="DT32" s="198"/>
      <c r="DU32" s="198"/>
      <c r="DV32" s="198"/>
      <c r="DW32" s="198"/>
      <c r="DX32" s="198"/>
      <c r="DY32" s="198"/>
      <c r="DZ32" s="198"/>
      <c r="EA32" s="198"/>
    </row>
    <row r="33" spans="1:131" s="199" customFormat="1" ht="13" x14ac:dyDescent="0.15">
      <c r="A33" s="198"/>
      <c r="B33" s="529" t="s">
        <v>21</v>
      </c>
      <c r="C33" s="530"/>
      <c r="D33" s="523"/>
      <c r="E33" s="525"/>
      <c r="F33" s="524"/>
      <c r="G33" s="526"/>
      <c r="H33" s="527"/>
      <c r="I33" s="528"/>
      <c r="J33" s="523"/>
      <c r="K33" s="525"/>
      <c r="L33" s="523" t="s">
        <v>310</v>
      </c>
      <c r="M33" s="524"/>
      <c r="N33" s="521">
        <v>12</v>
      </c>
      <c r="O33" s="522"/>
      <c r="P33" s="394" t="s">
        <v>310</v>
      </c>
      <c r="Q33" s="169">
        <f>IF(T33,VLOOKUP(B33,'Emissions Factors'!$B$145:$F$152,3,FALSE),0)</f>
        <v>0</v>
      </c>
      <c r="R33" s="169">
        <f t="shared" si="0"/>
        <v>1</v>
      </c>
      <c r="S33" s="168">
        <f>VLOOKUP(B33,'Emissions Factors'!$B$145:$F$152,2,FALSE)</f>
        <v>0.03</v>
      </c>
      <c r="T33" s="169" t="b">
        <f t="shared" si="1"/>
        <v>0</v>
      </c>
      <c r="U33" s="168">
        <f>IF(W33,VLOOKUP(B33,'Emissions Factors'!$B$145:$F$152,4,FALSE),0)</f>
        <v>0</v>
      </c>
      <c r="V33" s="168">
        <f>VLOOKUP(B33,'Emissions Factors'!$B$145:$F$152,5,FALSE)</f>
        <v>0.7</v>
      </c>
      <c r="W33" s="169" t="b">
        <f t="shared" si="2"/>
        <v>0</v>
      </c>
      <c r="X33" s="170">
        <f t="shared" si="3"/>
        <v>0</v>
      </c>
      <c r="Y33" s="171">
        <f>X33*'Emissions Factors'!$C$24</f>
        <v>0</v>
      </c>
      <c r="Z33" s="144">
        <f>IF(ISERROR(VLOOKUP(J33,'Emissions Factors'!$B$80:$C$132,2,0))=TRUE,0,VLOOKUP(J33,'Emissions Factors'!$B$80:$C$132,2,0))</f>
        <v>0</v>
      </c>
      <c r="AA33" s="162">
        <f t="shared" si="4"/>
        <v>0</v>
      </c>
      <c r="AB33" s="282"/>
      <c r="AC33" s="418">
        <f t="shared" si="5"/>
        <v>0</v>
      </c>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8"/>
      <c r="CL33" s="198"/>
      <c r="CM33" s="198"/>
      <c r="CN33" s="198"/>
      <c r="CO33" s="198"/>
      <c r="CP33" s="198"/>
      <c r="CQ33" s="198"/>
      <c r="CR33" s="198"/>
      <c r="CS33" s="198"/>
      <c r="CT33" s="198"/>
      <c r="CU33" s="198"/>
      <c r="CV33" s="198"/>
      <c r="CW33" s="198"/>
      <c r="CX33" s="198"/>
      <c r="CY33" s="198"/>
      <c r="CZ33" s="198"/>
      <c r="DA33" s="198"/>
      <c r="DB33" s="198"/>
      <c r="DC33" s="198"/>
      <c r="DD33" s="198"/>
      <c r="DE33" s="198"/>
      <c r="DF33" s="198"/>
      <c r="DG33" s="198"/>
      <c r="DH33" s="198"/>
      <c r="DI33" s="198"/>
      <c r="DJ33" s="198"/>
      <c r="DK33" s="198"/>
      <c r="DL33" s="198"/>
      <c r="DM33" s="198"/>
      <c r="DN33" s="198"/>
      <c r="DO33" s="198"/>
      <c r="DP33" s="198"/>
      <c r="DQ33" s="198"/>
      <c r="DR33" s="198"/>
      <c r="DS33" s="198"/>
      <c r="DT33" s="198"/>
      <c r="DU33" s="198"/>
      <c r="DV33" s="198"/>
      <c r="DW33" s="198"/>
      <c r="DX33" s="198"/>
      <c r="DY33" s="198"/>
      <c r="DZ33" s="198"/>
      <c r="EA33" s="198"/>
    </row>
    <row r="34" spans="1:131" s="199" customFormat="1" ht="13" x14ac:dyDescent="0.15">
      <c r="A34" s="198"/>
      <c r="B34" s="529" t="s">
        <v>21</v>
      </c>
      <c r="C34" s="530"/>
      <c r="D34" s="523"/>
      <c r="E34" s="525"/>
      <c r="F34" s="524"/>
      <c r="G34" s="526"/>
      <c r="H34" s="527"/>
      <c r="I34" s="528"/>
      <c r="J34" s="523"/>
      <c r="K34" s="525"/>
      <c r="L34" s="523" t="s">
        <v>310</v>
      </c>
      <c r="M34" s="524"/>
      <c r="N34" s="521">
        <v>12</v>
      </c>
      <c r="O34" s="522"/>
      <c r="P34" s="394" t="s">
        <v>310</v>
      </c>
      <c r="Q34" s="169">
        <f>IF(T34,VLOOKUP(B34,'Emissions Factors'!$B$145:$F$152,3,FALSE),0)</f>
        <v>0</v>
      </c>
      <c r="R34" s="169">
        <f t="shared" si="0"/>
        <v>1</v>
      </c>
      <c r="S34" s="168">
        <f>VLOOKUP(B34,'Emissions Factors'!$B$145:$F$152,2,FALSE)</f>
        <v>0.03</v>
      </c>
      <c r="T34" s="169" t="b">
        <f t="shared" si="1"/>
        <v>0</v>
      </c>
      <c r="U34" s="168">
        <f>IF(W34,VLOOKUP(B34,'Emissions Factors'!$B$145:$F$152,4,FALSE),0)</f>
        <v>0</v>
      </c>
      <c r="V34" s="168">
        <f>VLOOKUP(B34,'Emissions Factors'!$B$145:$F$152,5,FALSE)</f>
        <v>0.7</v>
      </c>
      <c r="W34" s="169" t="b">
        <f t="shared" si="2"/>
        <v>0</v>
      </c>
      <c r="X34" s="170">
        <f t="shared" si="3"/>
        <v>0</v>
      </c>
      <c r="Y34" s="171">
        <f>X34*'Emissions Factors'!$C$24</f>
        <v>0</v>
      </c>
      <c r="Z34" s="144">
        <f>IF(ISERROR(VLOOKUP(J34,'Emissions Factors'!$B$80:$C$132,2,0))=TRUE,0,VLOOKUP(J34,'Emissions Factors'!$B$80:$C$132,2,0))</f>
        <v>0</v>
      </c>
      <c r="AA34" s="162">
        <f t="shared" si="4"/>
        <v>0</v>
      </c>
      <c r="AB34" s="282"/>
      <c r="AC34" s="418">
        <f t="shared" si="5"/>
        <v>0</v>
      </c>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c r="BS34" s="198"/>
      <c r="BT34" s="198"/>
      <c r="BU34" s="198"/>
      <c r="BV34" s="198"/>
      <c r="BW34" s="198"/>
      <c r="BX34" s="198"/>
      <c r="BY34" s="198"/>
      <c r="BZ34" s="198"/>
      <c r="CA34" s="198"/>
      <c r="CB34" s="198"/>
      <c r="CC34" s="198"/>
      <c r="CD34" s="198"/>
      <c r="CE34" s="198"/>
      <c r="CF34" s="198"/>
      <c r="CG34" s="198"/>
      <c r="CH34" s="198"/>
      <c r="CI34" s="198"/>
      <c r="CJ34" s="198"/>
      <c r="CK34" s="198"/>
      <c r="CL34" s="198"/>
      <c r="CM34" s="198"/>
      <c r="CN34" s="198"/>
      <c r="CO34" s="198"/>
      <c r="CP34" s="198"/>
      <c r="CQ34" s="198"/>
      <c r="CR34" s="198"/>
      <c r="CS34" s="198"/>
      <c r="CT34" s="198"/>
      <c r="CU34" s="198"/>
      <c r="CV34" s="198"/>
      <c r="CW34" s="198"/>
      <c r="CX34" s="198"/>
      <c r="CY34" s="198"/>
      <c r="CZ34" s="198"/>
      <c r="DA34" s="198"/>
      <c r="DB34" s="198"/>
      <c r="DC34" s="198"/>
      <c r="DD34" s="198"/>
      <c r="DE34" s="198"/>
      <c r="DF34" s="198"/>
      <c r="DG34" s="198"/>
      <c r="DH34" s="198"/>
      <c r="DI34" s="198"/>
      <c r="DJ34" s="198"/>
      <c r="DK34" s="198"/>
      <c r="DL34" s="198"/>
      <c r="DM34" s="198"/>
      <c r="DN34" s="198"/>
      <c r="DO34" s="198"/>
      <c r="DP34" s="198"/>
      <c r="DQ34" s="198"/>
      <c r="DR34" s="198"/>
      <c r="DS34" s="198"/>
      <c r="DT34" s="198"/>
      <c r="DU34" s="198"/>
      <c r="DV34" s="198"/>
      <c r="DW34" s="198"/>
      <c r="DX34" s="198"/>
      <c r="DY34" s="198"/>
      <c r="DZ34" s="198"/>
      <c r="EA34" s="198"/>
    </row>
    <row r="35" spans="1:131" s="199" customFormat="1" ht="13" x14ac:dyDescent="0.15">
      <c r="A35" s="198"/>
      <c r="B35" s="529" t="s">
        <v>21</v>
      </c>
      <c r="C35" s="530"/>
      <c r="D35" s="523"/>
      <c r="E35" s="525"/>
      <c r="F35" s="524"/>
      <c r="G35" s="526"/>
      <c r="H35" s="527"/>
      <c r="I35" s="528"/>
      <c r="J35" s="523"/>
      <c r="K35" s="525"/>
      <c r="L35" s="523" t="s">
        <v>310</v>
      </c>
      <c r="M35" s="524"/>
      <c r="N35" s="521">
        <v>12</v>
      </c>
      <c r="O35" s="522"/>
      <c r="P35" s="394" t="s">
        <v>310</v>
      </c>
      <c r="Q35" s="169">
        <f>IF(T35,VLOOKUP(B35,'Emissions Factors'!$B$145:$F$152,3,FALSE),0)</f>
        <v>0</v>
      </c>
      <c r="R35" s="169">
        <f t="shared" si="0"/>
        <v>1</v>
      </c>
      <c r="S35" s="168">
        <f>VLOOKUP(B35,'Emissions Factors'!$B$145:$F$152,2,FALSE)</f>
        <v>0.03</v>
      </c>
      <c r="T35" s="169" t="b">
        <f t="shared" si="1"/>
        <v>0</v>
      </c>
      <c r="U35" s="168">
        <f>IF(W35,VLOOKUP(B35,'Emissions Factors'!$B$145:$F$152,4,FALSE),0)</f>
        <v>0</v>
      </c>
      <c r="V35" s="168">
        <f>VLOOKUP(B35,'Emissions Factors'!$B$145:$F$152,5,FALSE)</f>
        <v>0.7</v>
      </c>
      <c r="W35" s="169" t="b">
        <f t="shared" si="2"/>
        <v>0</v>
      </c>
      <c r="X35" s="170">
        <f t="shared" si="3"/>
        <v>0</v>
      </c>
      <c r="Y35" s="171">
        <f>X35*'Emissions Factors'!$C$24</f>
        <v>0</v>
      </c>
      <c r="Z35" s="144">
        <f>IF(ISERROR(VLOOKUP(J35,'Emissions Factors'!$B$80:$C$132,2,0))=TRUE,0,VLOOKUP(J35,'Emissions Factors'!$B$80:$C$132,2,0))</f>
        <v>0</v>
      </c>
      <c r="AA35" s="162">
        <f t="shared" si="4"/>
        <v>0</v>
      </c>
      <c r="AB35" s="282"/>
      <c r="AC35" s="418">
        <f t="shared" si="5"/>
        <v>0</v>
      </c>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8"/>
      <c r="BR35" s="198"/>
      <c r="BS35" s="198"/>
      <c r="BT35" s="198"/>
      <c r="BU35" s="198"/>
      <c r="BV35" s="198"/>
      <c r="BW35" s="198"/>
      <c r="BX35" s="198"/>
      <c r="BY35" s="198"/>
      <c r="BZ35" s="198"/>
      <c r="CA35" s="198"/>
      <c r="CB35" s="198"/>
      <c r="CC35" s="198"/>
      <c r="CD35" s="198"/>
      <c r="CE35" s="198"/>
      <c r="CF35" s="198"/>
      <c r="CG35" s="198"/>
      <c r="CH35" s="198"/>
      <c r="CI35" s="198"/>
      <c r="CJ35" s="198"/>
      <c r="CK35" s="198"/>
      <c r="CL35" s="198"/>
      <c r="CM35" s="198"/>
      <c r="CN35" s="198"/>
      <c r="CO35" s="198"/>
      <c r="CP35" s="198"/>
      <c r="CQ35" s="198"/>
      <c r="CR35" s="198"/>
      <c r="CS35" s="198"/>
      <c r="CT35" s="198"/>
      <c r="CU35" s="198"/>
      <c r="CV35" s="198"/>
      <c r="CW35" s="198"/>
      <c r="CX35" s="198"/>
      <c r="CY35" s="198"/>
      <c r="CZ35" s="198"/>
      <c r="DA35" s="198"/>
      <c r="DB35" s="198"/>
      <c r="DC35" s="198"/>
      <c r="DD35" s="198"/>
      <c r="DE35" s="198"/>
      <c r="DF35" s="198"/>
      <c r="DG35" s="198"/>
      <c r="DH35" s="198"/>
      <c r="DI35" s="198"/>
      <c r="DJ35" s="198"/>
      <c r="DK35" s="198"/>
      <c r="DL35" s="198"/>
      <c r="DM35" s="198"/>
      <c r="DN35" s="198"/>
      <c r="DO35" s="198"/>
      <c r="DP35" s="198"/>
      <c r="DQ35" s="198"/>
      <c r="DR35" s="198"/>
      <c r="DS35" s="198"/>
      <c r="DT35" s="198"/>
      <c r="DU35" s="198"/>
      <c r="DV35" s="198"/>
      <c r="DW35" s="198"/>
      <c r="DX35" s="198"/>
      <c r="DY35" s="198"/>
      <c r="DZ35" s="198"/>
      <c r="EA35" s="198"/>
    </row>
    <row r="36" spans="1:131" s="199" customFormat="1" ht="13" x14ac:dyDescent="0.15">
      <c r="A36" s="198"/>
      <c r="B36" s="529" t="s">
        <v>21</v>
      </c>
      <c r="C36" s="530"/>
      <c r="D36" s="523"/>
      <c r="E36" s="525"/>
      <c r="F36" s="524"/>
      <c r="G36" s="526"/>
      <c r="H36" s="527"/>
      <c r="I36" s="528"/>
      <c r="J36" s="523"/>
      <c r="K36" s="525"/>
      <c r="L36" s="523" t="s">
        <v>310</v>
      </c>
      <c r="M36" s="524"/>
      <c r="N36" s="521">
        <v>12</v>
      </c>
      <c r="O36" s="522"/>
      <c r="P36" s="394" t="s">
        <v>310</v>
      </c>
      <c r="Q36" s="169">
        <f>IF(T36,VLOOKUP(B36,'Emissions Factors'!$B$145:$F$152,3,FALSE),0)</f>
        <v>0</v>
      </c>
      <c r="R36" s="169">
        <f t="shared" si="0"/>
        <v>1</v>
      </c>
      <c r="S36" s="168">
        <f>VLOOKUP(B36,'Emissions Factors'!$B$145:$F$152,2,FALSE)</f>
        <v>0.03</v>
      </c>
      <c r="T36" s="169" t="b">
        <f t="shared" si="1"/>
        <v>0</v>
      </c>
      <c r="U36" s="168">
        <f>IF(W36,VLOOKUP(B36,'Emissions Factors'!$B$145:$F$152,4,FALSE),0)</f>
        <v>0</v>
      </c>
      <c r="V36" s="168">
        <f>VLOOKUP(B36,'Emissions Factors'!$B$145:$F$152,5,FALSE)</f>
        <v>0.7</v>
      </c>
      <c r="W36" s="169" t="b">
        <f t="shared" si="2"/>
        <v>0</v>
      </c>
      <c r="X36" s="170">
        <f t="shared" si="3"/>
        <v>0</v>
      </c>
      <c r="Y36" s="171">
        <f>X36*'Emissions Factors'!$C$24</f>
        <v>0</v>
      </c>
      <c r="Z36" s="144">
        <f>IF(ISERROR(VLOOKUP(J36,'Emissions Factors'!$B$80:$C$132,2,0))=TRUE,0,VLOOKUP(J36,'Emissions Factors'!$B$80:$C$132,2,0))</f>
        <v>0</v>
      </c>
      <c r="AA36" s="162">
        <f t="shared" si="4"/>
        <v>0</v>
      </c>
      <c r="AB36" s="282"/>
      <c r="AC36" s="418">
        <f t="shared" si="5"/>
        <v>0</v>
      </c>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8"/>
      <c r="BR36" s="198"/>
      <c r="BS36" s="198"/>
      <c r="BT36" s="198"/>
      <c r="BU36" s="198"/>
      <c r="BV36" s="198"/>
      <c r="BW36" s="198"/>
      <c r="BX36" s="198"/>
      <c r="BY36" s="198"/>
      <c r="BZ36" s="198"/>
      <c r="CA36" s="198"/>
      <c r="CB36" s="198"/>
      <c r="CC36" s="198"/>
      <c r="CD36" s="198"/>
      <c r="CE36" s="198"/>
      <c r="CF36" s="198"/>
      <c r="CG36" s="198"/>
      <c r="CH36" s="198"/>
      <c r="CI36" s="198"/>
      <c r="CJ36" s="198"/>
      <c r="CK36" s="198"/>
      <c r="CL36" s="198"/>
      <c r="CM36" s="198"/>
      <c r="CN36" s="198"/>
      <c r="CO36" s="198"/>
      <c r="CP36" s="198"/>
      <c r="CQ36" s="198"/>
      <c r="CR36" s="198"/>
      <c r="CS36" s="198"/>
      <c r="CT36" s="198"/>
      <c r="CU36" s="198"/>
      <c r="CV36" s="198"/>
      <c r="CW36" s="198"/>
      <c r="CX36" s="198"/>
      <c r="CY36" s="198"/>
      <c r="CZ36" s="198"/>
      <c r="DA36" s="198"/>
      <c r="DB36" s="198"/>
      <c r="DC36" s="198"/>
      <c r="DD36" s="198"/>
      <c r="DE36" s="198"/>
      <c r="DF36" s="198"/>
      <c r="DG36" s="198"/>
      <c r="DH36" s="198"/>
      <c r="DI36" s="198"/>
      <c r="DJ36" s="198"/>
      <c r="DK36" s="198"/>
      <c r="DL36" s="198"/>
      <c r="DM36" s="198"/>
      <c r="DN36" s="198"/>
      <c r="DO36" s="198"/>
      <c r="DP36" s="198"/>
      <c r="DQ36" s="198"/>
      <c r="DR36" s="198"/>
      <c r="DS36" s="198"/>
      <c r="DT36" s="198"/>
      <c r="DU36" s="198"/>
      <c r="DV36" s="198"/>
      <c r="DW36" s="198"/>
      <c r="DX36" s="198"/>
      <c r="DY36" s="198"/>
      <c r="DZ36" s="198"/>
      <c r="EA36" s="198"/>
    </row>
    <row r="37" spans="1:131" s="199" customFormat="1" ht="13" x14ac:dyDescent="0.15">
      <c r="A37" s="198"/>
      <c r="B37" s="529" t="s">
        <v>22</v>
      </c>
      <c r="C37" s="530"/>
      <c r="D37" s="523"/>
      <c r="E37" s="525"/>
      <c r="F37" s="524"/>
      <c r="G37" s="526"/>
      <c r="H37" s="527"/>
      <c r="I37" s="528"/>
      <c r="J37" s="523"/>
      <c r="K37" s="525"/>
      <c r="L37" s="523" t="s">
        <v>310</v>
      </c>
      <c r="M37" s="524"/>
      <c r="N37" s="521">
        <v>12</v>
      </c>
      <c r="O37" s="522"/>
      <c r="P37" s="394" t="s">
        <v>310</v>
      </c>
      <c r="Q37" s="169">
        <f>IF(T37,VLOOKUP(B37,'Emissions Factors'!$B$145:$F$152,3,FALSE),0)</f>
        <v>0</v>
      </c>
      <c r="R37" s="169">
        <f t="shared" si="0"/>
        <v>1</v>
      </c>
      <c r="S37" s="168">
        <f>VLOOKUP(B37,'Emissions Factors'!$B$145:$F$152,2,FALSE)</f>
        <v>0.01</v>
      </c>
      <c r="T37" s="169" t="b">
        <f t="shared" si="1"/>
        <v>0</v>
      </c>
      <c r="U37" s="168">
        <f>IF(W37,VLOOKUP(B37,'Emissions Factors'!$B$145:$F$152,4,FALSE),0)</f>
        <v>0</v>
      </c>
      <c r="V37" s="168">
        <f>VLOOKUP(B37,'Emissions Factors'!$B$145:$F$152,5,FALSE)</f>
        <v>0.7</v>
      </c>
      <c r="W37" s="169" t="b">
        <f t="shared" si="2"/>
        <v>0</v>
      </c>
      <c r="X37" s="170">
        <f t="shared" si="3"/>
        <v>0</v>
      </c>
      <c r="Y37" s="171">
        <f>X37*'Emissions Factors'!$C$24</f>
        <v>0</v>
      </c>
      <c r="Z37" s="144">
        <f>IF(ISERROR(VLOOKUP(J37,'Emissions Factors'!$B$80:$C$132,2,0))=TRUE,0,VLOOKUP(J37,'Emissions Factors'!$B$80:$C$132,2,0))</f>
        <v>0</v>
      </c>
      <c r="AA37" s="162">
        <f t="shared" si="4"/>
        <v>0</v>
      </c>
      <c r="AB37" s="282"/>
      <c r="AC37" s="418">
        <f t="shared" si="5"/>
        <v>0</v>
      </c>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8"/>
      <c r="BR37" s="198"/>
      <c r="BS37" s="198"/>
      <c r="BT37" s="198"/>
      <c r="BU37" s="198"/>
      <c r="BV37" s="198"/>
      <c r="BW37" s="198"/>
      <c r="BX37" s="198"/>
      <c r="BY37" s="198"/>
      <c r="BZ37" s="198"/>
      <c r="CA37" s="198"/>
      <c r="CB37" s="198"/>
      <c r="CC37" s="198"/>
      <c r="CD37" s="198"/>
      <c r="CE37" s="198"/>
      <c r="CF37" s="198"/>
      <c r="CG37" s="198"/>
      <c r="CH37" s="198"/>
      <c r="CI37" s="198"/>
      <c r="CJ37" s="198"/>
      <c r="CK37" s="198"/>
      <c r="CL37" s="198"/>
      <c r="CM37" s="198"/>
      <c r="CN37" s="198"/>
      <c r="CO37" s="198"/>
      <c r="CP37" s="198"/>
      <c r="CQ37" s="198"/>
      <c r="CR37" s="198"/>
      <c r="CS37" s="198"/>
      <c r="CT37" s="198"/>
      <c r="CU37" s="198"/>
      <c r="CV37" s="198"/>
      <c r="CW37" s="198"/>
      <c r="CX37" s="198"/>
      <c r="CY37" s="198"/>
      <c r="CZ37" s="198"/>
      <c r="DA37" s="198"/>
      <c r="DB37" s="198"/>
      <c r="DC37" s="198"/>
      <c r="DD37" s="198"/>
      <c r="DE37" s="198"/>
      <c r="DF37" s="198"/>
      <c r="DG37" s="198"/>
      <c r="DH37" s="198"/>
      <c r="DI37" s="198"/>
      <c r="DJ37" s="198"/>
      <c r="DK37" s="198"/>
      <c r="DL37" s="198"/>
      <c r="DM37" s="198"/>
      <c r="DN37" s="198"/>
      <c r="DO37" s="198"/>
      <c r="DP37" s="198"/>
      <c r="DQ37" s="198"/>
      <c r="DR37" s="198"/>
      <c r="DS37" s="198"/>
      <c r="DT37" s="198"/>
      <c r="DU37" s="198"/>
      <c r="DV37" s="198"/>
      <c r="DW37" s="198"/>
      <c r="DX37" s="198"/>
      <c r="DY37" s="198"/>
      <c r="DZ37" s="198"/>
      <c r="EA37" s="198"/>
    </row>
    <row r="38" spans="1:131" s="199" customFormat="1" ht="13" x14ac:dyDescent="0.15">
      <c r="A38" s="198"/>
      <c r="B38" s="529" t="s">
        <v>22</v>
      </c>
      <c r="C38" s="530"/>
      <c r="D38" s="523"/>
      <c r="E38" s="525"/>
      <c r="F38" s="524"/>
      <c r="G38" s="526"/>
      <c r="H38" s="527"/>
      <c r="I38" s="528"/>
      <c r="J38" s="523"/>
      <c r="K38" s="525"/>
      <c r="L38" s="523" t="s">
        <v>310</v>
      </c>
      <c r="M38" s="524"/>
      <c r="N38" s="521">
        <v>12</v>
      </c>
      <c r="O38" s="522"/>
      <c r="P38" s="394" t="s">
        <v>310</v>
      </c>
      <c r="Q38" s="169">
        <f>IF(T38,VLOOKUP(B38,'Emissions Factors'!$B$145:$F$152,3,FALSE),0)</f>
        <v>0</v>
      </c>
      <c r="R38" s="169">
        <f t="shared" si="0"/>
        <v>1</v>
      </c>
      <c r="S38" s="168">
        <f>VLOOKUP(B38,'Emissions Factors'!$B$145:$F$152,2,FALSE)</f>
        <v>0.01</v>
      </c>
      <c r="T38" s="169" t="b">
        <f t="shared" si="1"/>
        <v>0</v>
      </c>
      <c r="U38" s="168">
        <f>IF(W38,VLOOKUP(B38,'Emissions Factors'!$B$145:$F$152,4,FALSE),0)</f>
        <v>0</v>
      </c>
      <c r="V38" s="168">
        <f>VLOOKUP(B38,'Emissions Factors'!$B$145:$F$152,5,FALSE)</f>
        <v>0.7</v>
      </c>
      <c r="W38" s="169" t="b">
        <f t="shared" si="2"/>
        <v>0</v>
      </c>
      <c r="X38" s="170">
        <f t="shared" si="3"/>
        <v>0</v>
      </c>
      <c r="Y38" s="171">
        <f>X38*'Emissions Factors'!$C$24</f>
        <v>0</v>
      </c>
      <c r="Z38" s="144">
        <f>IF(ISERROR(VLOOKUP(J38,'Emissions Factors'!$B$80:$C$132,2,0))=TRUE,0,VLOOKUP(J38,'Emissions Factors'!$B$80:$C$132,2,0))</f>
        <v>0</v>
      </c>
      <c r="AA38" s="162">
        <f t="shared" ref="AA38:AA66" si="6">Y38*Z38</f>
        <v>0</v>
      </c>
      <c r="AB38" s="282"/>
      <c r="AC38" s="418">
        <f t="shared" si="5"/>
        <v>0</v>
      </c>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8"/>
      <c r="BR38" s="198"/>
      <c r="BS38" s="198"/>
      <c r="BT38" s="198"/>
      <c r="BU38" s="198"/>
      <c r="BV38" s="198"/>
      <c r="BW38" s="198"/>
      <c r="BX38" s="198"/>
      <c r="BY38" s="198"/>
      <c r="BZ38" s="198"/>
      <c r="CA38" s="198"/>
      <c r="CB38" s="198"/>
      <c r="CC38" s="198"/>
      <c r="CD38" s="198"/>
      <c r="CE38" s="198"/>
      <c r="CF38" s="198"/>
      <c r="CG38" s="198"/>
      <c r="CH38" s="198"/>
      <c r="CI38" s="198"/>
      <c r="CJ38" s="198"/>
      <c r="CK38" s="198"/>
      <c r="CL38" s="198"/>
      <c r="CM38" s="198"/>
      <c r="CN38" s="198"/>
      <c r="CO38" s="198"/>
      <c r="CP38" s="198"/>
      <c r="CQ38" s="198"/>
      <c r="CR38" s="198"/>
      <c r="CS38" s="198"/>
      <c r="CT38" s="198"/>
      <c r="CU38" s="198"/>
      <c r="CV38" s="198"/>
      <c r="CW38" s="198"/>
      <c r="CX38" s="198"/>
      <c r="CY38" s="198"/>
      <c r="CZ38" s="198"/>
      <c r="DA38" s="198"/>
      <c r="DB38" s="198"/>
      <c r="DC38" s="198"/>
      <c r="DD38" s="198"/>
      <c r="DE38" s="198"/>
      <c r="DF38" s="198"/>
      <c r="DG38" s="198"/>
      <c r="DH38" s="198"/>
      <c r="DI38" s="198"/>
      <c r="DJ38" s="198"/>
      <c r="DK38" s="198"/>
      <c r="DL38" s="198"/>
      <c r="DM38" s="198"/>
      <c r="DN38" s="198"/>
      <c r="DO38" s="198"/>
      <c r="DP38" s="198"/>
      <c r="DQ38" s="198"/>
      <c r="DR38" s="198"/>
      <c r="DS38" s="198"/>
      <c r="DT38" s="198"/>
      <c r="DU38" s="198"/>
      <c r="DV38" s="198"/>
      <c r="DW38" s="198"/>
      <c r="DX38" s="198"/>
      <c r="DY38" s="198"/>
      <c r="DZ38" s="198"/>
      <c r="EA38" s="198"/>
    </row>
    <row r="39" spans="1:131" s="199" customFormat="1" ht="13" x14ac:dyDescent="0.15">
      <c r="A39" s="198"/>
      <c r="B39" s="529" t="s">
        <v>22</v>
      </c>
      <c r="C39" s="530"/>
      <c r="D39" s="523"/>
      <c r="E39" s="525"/>
      <c r="F39" s="524"/>
      <c r="G39" s="526"/>
      <c r="H39" s="527"/>
      <c r="I39" s="528"/>
      <c r="J39" s="523"/>
      <c r="K39" s="525"/>
      <c r="L39" s="523" t="s">
        <v>310</v>
      </c>
      <c r="M39" s="524"/>
      <c r="N39" s="521">
        <v>12</v>
      </c>
      <c r="O39" s="522"/>
      <c r="P39" s="394" t="s">
        <v>310</v>
      </c>
      <c r="Q39" s="169">
        <f>IF(T39,VLOOKUP(B39,'Emissions Factors'!$B$145:$F$152,3,FALSE),0)</f>
        <v>0</v>
      </c>
      <c r="R39" s="169">
        <f t="shared" si="0"/>
        <v>1</v>
      </c>
      <c r="S39" s="168">
        <f>VLOOKUP(B39,'Emissions Factors'!$B$145:$F$152,2,FALSE)</f>
        <v>0.01</v>
      </c>
      <c r="T39" s="169" t="b">
        <f t="shared" si="1"/>
        <v>0</v>
      </c>
      <c r="U39" s="168">
        <f>IF(W39,VLOOKUP(B39,'Emissions Factors'!$B$145:$F$152,4,FALSE),0)</f>
        <v>0</v>
      </c>
      <c r="V39" s="168">
        <f>VLOOKUP(B39,'Emissions Factors'!$B$145:$F$152,5,FALSE)</f>
        <v>0.7</v>
      </c>
      <c r="W39" s="169" t="b">
        <f t="shared" si="2"/>
        <v>0</v>
      </c>
      <c r="X39" s="170">
        <f t="shared" si="3"/>
        <v>0</v>
      </c>
      <c r="Y39" s="171">
        <f>X39*'Emissions Factors'!$C$24</f>
        <v>0</v>
      </c>
      <c r="Z39" s="144">
        <f>IF(ISERROR(VLOOKUP(J39,'Emissions Factors'!$B$80:$C$132,2,0))=TRUE,0,VLOOKUP(J39,'Emissions Factors'!$B$80:$C$132,2,0))</f>
        <v>0</v>
      </c>
      <c r="AA39" s="162">
        <f t="shared" si="6"/>
        <v>0</v>
      </c>
      <c r="AB39" s="282"/>
      <c r="AC39" s="418">
        <f t="shared" si="5"/>
        <v>0</v>
      </c>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8"/>
      <c r="BR39" s="198"/>
      <c r="BS39" s="198"/>
      <c r="BT39" s="198"/>
      <c r="BU39" s="198"/>
      <c r="BV39" s="198"/>
      <c r="BW39" s="198"/>
      <c r="BX39" s="198"/>
      <c r="BY39" s="198"/>
      <c r="BZ39" s="198"/>
      <c r="CA39" s="198"/>
      <c r="CB39" s="198"/>
      <c r="CC39" s="198"/>
      <c r="CD39" s="198"/>
      <c r="CE39" s="198"/>
      <c r="CF39" s="198"/>
      <c r="CG39" s="198"/>
      <c r="CH39" s="198"/>
      <c r="CI39" s="198"/>
      <c r="CJ39" s="198"/>
      <c r="CK39" s="198"/>
      <c r="CL39" s="198"/>
      <c r="CM39" s="198"/>
      <c r="CN39" s="198"/>
      <c r="CO39" s="198"/>
      <c r="CP39" s="198"/>
      <c r="CQ39" s="198"/>
      <c r="CR39" s="198"/>
      <c r="CS39" s="198"/>
      <c r="CT39" s="198"/>
      <c r="CU39" s="198"/>
      <c r="CV39" s="198"/>
      <c r="CW39" s="198"/>
      <c r="CX39" s="198"/>
      <c r="CY39" s="198"/>
      <c r="CZ39" s="198"/>
      <c r="DA39" s="198"/>
      <c r="DB39" s="198"/>
      <c r="DC39" s="198"/>
      <c r="DD39" s="198"/>
      <c r="DE39" s="198"/>
      <c r="DF39" s="198"/>
      <c r="DG39" s="198"/>
      <c r="DH39" s="198"/>
      <c r="DI39" s="198"/>
      <c r="DJ39" s="198"/>
      <c r="DK39" s="198"/>
      <c r="DL39" s="198"/>
      <c r="DM39" s="198"/>
      <c r="DN39" s="198"/>
      <c r="DO39" s="198"/>
      <c r="DP39" s="198"/>
      <c r="DQ39" s="198"/>
      <c r="DR39" s="198"/>
      <c r="DS39" s="198"/>
      <c r="DT39" s="198"/>
      <c r="DU39" s="198"/>
      <c r="DV39" s="198"/>
      <c r="DW39" s="198"/>
      <c r="DX39" s="198"/>
      <c r="DY39" s="198"/>
      <c r="DZ39" s="198"/>
      <c r="EA39" s="198"/>
    </row>
    <row r="40" spans="1:131" s="199" customFormat="1" ht="13" x14ac:dyDescent="0.15">
      <c r="A40" s="198"/>
      <c r="B40" s="529" t="s">
        <v>22</v>
      </c>
      <c r="C40" s="530"/>
      <c r="D40" s="523"/>
      <c r="E40" s="525"/>
      <c r="F40" s="524"/>
      <c r="G40" s="526"/>
      <c r="H40" s="527"/>
      <c r="I40" s="528"/>
      <c r="J40" s="523"/>
      <c r="K40" s="525"/>
      <c r="L40" s="523" t="s">
        <v>310</v>
      </c>
      <c r="M40" s="524"/>
      <c r="N40" s="521">
        <v>12</v>
      </c>
      <c r="O40" s="522"/>
      <c r="P40" s="394" t="s">
        <v>310</v>
      </c>
      <c r="Q40" s="169">
        <f>IF(T40,VLOOKUP(B40,'Emissions Factors'!$B$145:$F$152,3,FALSE),0)</f>
        <v>0</v>
      </c>
      <c r="R40" s="169">
        <f t="shared" si="0"/>
        <v>1</v>
      </c>
      <c r="S40" s="168">
        <f>VLOOKUP(B40,'Emissions Factors'!$B$145:$F$152,2,FALSE)</f>
        <v>0.01</v>
      </c>
      <c r="T40" s="169" t="b">
        <f t="shared" si="1"/>
        <v>0</v>
      </c>
      <c r="U40" s="168">
        <f>IF(W40,VLOOKUP(B40,'Emissions Factors'!$B$145:$F$152,4,FALSE),0)</f>
        <v>0</v>
      </c>
      <c r="V40" s="168">
        <f>VLOOKUP(B40,'Emissions Factors'!$B$145:$F$152,5,FALSE)</f>
        <v>0.7</v>
      </c>
      <c r="W40" s="169" t="b">
        <f t="shared" si="2"/>
        <v>0</v>
      </c>
      <c r="X40" s="170">
        <f t="shared" si="3"/>
        <v>0</v>
      </c>
      <c r="Y40" s="171">
        <f>X40*'Emissions Factors'!$C$24</f>
        <v>0</v>
      </c>
      <c r="Z40" s="144">
        <f>IF(ISERROR(VLOOKUP(J40,'Emissions Factors'!$B$80:$C$132,2,0))=TRUE,0,VLOOKUP(J40,'Emissions Factors'!$B$80:$C$132,2,0))</f>
        <v>0</v>
      </c>
      <c r="AA40" s="162">
        <f t="shared" si="6"/>
        <v>0</v>
      </c>
      <c r="AB40" s="282"/>
      <c r="AC40" s="418">
        <f t="shared" si="5"/>
        <v>0</v>
      </c>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8"/>
      <c r="CO40" s="198"/>
      <c r="CP40" s="198"/>
      <c r="CQ40" s="198"/>
      <c r="CR40" s="198"/>
      <c r="CS40" s="198"/>
      <c r="CT40" s="198"/>
      <c r="CU40" s="198"/>
      <c r="CV40" s="198"/>
      <c r="CW40" s="198"/>
      <c r="CX40" s="198"/>
      <c r="CY40" s="198"/>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W40" s="198"/>
      <c r="DX40" s="198"/>
      <c r="DY40" s="198"/>
      <c r="DZ40" s="198"/>
      <c r="EA40" s="198"/>
    </row>
    <row r="41" spans="1:131" s="199" customFormat="1" ht="13" x14ac:dyDescent="0.15">
      <c r="A41" s="198"/>
      <c r="B41" s="529" t="s">
        <v>22</v>
      </c>
      <c r="C41" s="530"/>
      <c r="D41" s="523"/>
      <c r="E41" s="525"/>
      <c r="F41" s="524"/>
      <c r="G41" s="526"/>
      <c r="H41" s="527"/>
      <c r="I41" s="528"/>
      <c r="J41" s="523"/>
      <c r="K41" s="525"/>
      <c r="L41" s="523" t="s">
        <v>310</v>
      </c>
      <c r="M41" s="524"/>
      <c r="N41" s="521">
        <v>12</v>
      </c>
      <c r="O41" s="522"/>
      <c r="P41" s="394" t="s">
        <v>310</v>
      </c>
      <c r="Q41" s="169">
        <f>IF(T41,VLOOKUP(B41,'Emissions Factors'!$B$145:$F$152,3,FALSE),0)</f>
        <v>0</v>
      </c>
      <c r="R41" s="169">
        <f t="shared" si="0"/>
        <v>1</v>
      </c>
      <c r="S41" s="168">
        <f>VLOOKUP(B41,'Emissions Factors'!$B$145:$F$152,2,FALSE)</f>
        <v>0.01</v>
      </c>
      <c r="T41" s="169" t="b">
        <f t="shared" si="1"/>
        <v>0</v>
      </c>
      <c r="U41" s="168">
        <f>IF(W41,VLOOKUP(B41,'Emissions Factors'!$B$145:$F$152,4,FALSE),0)</f>
        <v>0</v>
      </c>
      <c r="V41" s="168">
        <f>VLOOKUP(B41,'Emissions Factors'!$B$145:$F$152,5,FALSE)</f>
        <v>0.7</v>
      </c>
      <c r="W41" s="169" t="b">
        <f t="shared" si="2"/>
        <v>0</v>
      </c>
      <c r="X41" s="170">
        <f t="shared" si="3"/>
        <v>0</v>
      </c>
      <c r="Y41" s="171">
        <f>X41*'Emissions Factors'!$C$24</f>
        <v>0</v>
      </c>
      <c r="Z41" s="144">
        <f>IF(ISERROR(VLOOKUP(J41,'Emissions Factors'!$B$80:$C$132,2,0))=TRUE,0,VLOOKUP(J41,'Emissions Factors'!$B$80:$C$132,2,0))</f>
        <v>0</v>
      </c>
      <c r="AA41" s="162">
        <f t="shared" si="6"/>
        <v>0</v>
      </c>
      <c r="AB41" s="282"/>
      <c r="AC41" s="418">
        <f t="shared" si="5"/>
        <v>0</v>
      </c>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8"/>
      <c r="BR41" s="198"/>
      <c r="BS41" s="198"/>
      <c r="BT41" s="198"/>
      <c r="BU41" s="198"/>
      <c r="BV41" s="198"/>
      <c r="BW41" s="198"/>
      <c r="BX41" s="198"/>
      <c r="BY41" s="198"/>
      <c r="BZ41" s="198"/>
      <c r="CA41" s="198"/>
      <c r="CB41" s="198"/>
      <c r="CC41" s="198"/>
      <c r="CD41" s="198"/>
      <c r="CE41" s="198"/>
      <c r="CF41" s="198"/>
      <c r="CG41" s="198"/>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8"/>
      <c r="DZ41" s="198"/>
      <c r="EA41" s="198"/>
    </row>
    <row r="42" spans="1:131" s="199" customFormat="1" ht="13" x14ac:dyDescent="0.15">
      <c r="A42" s="198"/>
      <c r="B42" s="529" t="s">
        <v>115</v>
      </c>
      <c r="C42" s="530"/>
      <c r="D42" s="523"/>
      <c r="E42" s="525"/>
      <c r="F42" s="524"/>
      <c r="G42" s="526"/>
      <c r="H42" s="527"/>
      <c r="I42" s="528"/>
      <c r="J42" s="523"/>
      <c r="K42" s="525"/>
      <c r="L42" s="523" t="s">
        <v>310</v>
      </c>
      <c r="M42" s="524"/>
      <c r="N42" s="521">
        <v>12</v>
      </c>
      <c r="O42" s="522"/>
      <c r="P42" s="394" t="s">
        <v>310</v>
      </c>
      <c r="Q42" s="169">
        <f>IF(T42,VLOOKUP(B42,'Emissions Factors'!$B$145:$F$152,3,FALSE),0)</f>
        <v>0</v>
      </c>
      <c r="R42" s="169">
        <f t="shared" si="0"/>
        <v>1</v>
      </c>
      <c r="S42" s="168">
        <f>VLOOKUP(B42,'Emissions Factors'!$B$145:$F$152,2,FALSE)</f>
        <v>0.03</v>
      </c>
      <c r="T42" s="169" t="b">
        <f t="shared" si="1"/>
        <v>0</v>
      </c>
      <c r="U42" s="168">
        <f>IF(W42,VLOOKUP(B42,'Emissions Factors'!$B$145:$F$152,4,FALSE),0)</f>
        <v>0</v>
      </c>
      <c r="V42" s="168">
        <f>VLOOKUP(B42,'Emissions Factors'!$B$145:$F$152,5,FALSE)</f>
        <v>0.9</v>
      </c>
      <c r="W42" s="169" t="b">
        <f t="shared" si="2"/>
        <v>0</v>
      </c>
      <c r="X42" s="170">
        <f t="shared" si="3"/>
        <v>0</v>
      </c>
      <c r="Y42" s="171">
        <f>X42*'Emissions Factors'!$C$24</f>
        <v>0</v>
      </c>
      <c r="Z42" s="144">
        <f>IF(ISERROR(VLOOKUP(J42,'Emissions Factors'!$B$80:$C$132,2,0))=TRUE,0,VLOOKUP(J42,'Emissions Factors'!$B$80:$C$132,2,0))</f>
        <v>0</v>
      </c>
      <c r="AA42" s="162">
        <f t="shared" si="6"/>
        <v>0</v>
      </c>
      <c r="AB42" s="282"/>
      <c r="AC42" s="418">
        <f t="shared" si="5"/>
        <v>0</v>
      </c>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198"/>
      <c r="DK42" s="198"/>
      <c r="DL42" s="198"/>
      <c r="DM42" s="198"/>
      <c r="DN42" s="198"/>
      <c r="DO42" s="198"/>
      <c r="DP42" s="198"/>
      <c r="DQ42" s="198"/>
      <c r="DR42" s="198"/>
      <c r="DS42" s="198"/>
      <c r="DT42" s="198"/>
      <c r="DU42" s="198"/>
      <c r="DV42" s="198"/>
      <c r="DW42" s="198"/>
      <c r="DX42" s="198"/>
      <c r="DY42" s="198"/>
      <c r="DZ42" s="198"/>
      <c r="EA42" s="198"/>
    </row>
    <row r="43" spans="1:131" s="199" customFormat="1" ht="13" x14ac:dyDescent="0.15">
      <c r="A43" s="198"/>
      <c r="B43" s="529" t="s">
        <v>115</v>
      </c>
      <c r="C43" s="530"/>
      <c r="D43" s="523"/>
      <c r="E43" s="525"/>
      <c r="F43" s="524"/>
      <c r="G43" s="526"/>
      <c r="H43" s="527"/>
      <c r="I43" s="528"/>
      <c r="J43" s="523"/>
      <c r="K43" s="525"/>
      <c r="L43" s="523" t="s">
        <v>310</v>
      </c>
      <c r="M43" s="524"/>
      <c r="N43" s="521">
        <v>12</v>
      </c>
      <c r="O43" s="522"/>
      <c r="P43" s="394" t="s">
        <v>310</v>
      </c>
      <c r="Q43" s="169">
        <f>IF(T43,VLOOKUP(B43,'Emissions Factors'!$B$145:$F$152,3,FALSE),0)</f>
        <v>0</v>
      </c>
      <c r="R43" s="169">
        <f t="shared" si="0"/>
        <v>1</v>
      </c>
      <c r="S43" s="168">
        <f>VLOOKUP(B43,'Emissions Factors'!$B$145:$F$152,2,FALSE)</f>
        <v>0.03</v>
      </c>
      <c r="T43" s="169" t="b">
        <f t="shared" si="1"/>
        <v>0</v>
      </c>
      <c r="U43" s="168">
        <f>IF(W43,VLOOKUP(B43,'Emissions Factors'!$B$145:$F$152,4,FALSE),0)</f>
        <v>0</v>
      </c>
      <c r="V43" s="168">
        <f>VLOOKUP(B43,'Emissions Factors'!$B$145:$F$152,5,FALSE)</f>
        <v>0.9</v>
      </c>
      <c r="W43" s="169" t="b">
        <f t="shared" si="2"/>
        <v>0</v>
      </c>
      <c r="X43" s="170">
        <f t="shared" si="3"/>
        <v>0</v>
      </c>
      <c r="Y43" s="171">
        <f>X43*'Emissions Factors'!$C$24</f>
        <v>0</v>
      </c>
      <c r="Z43" s="144">
        <f>IF(ISERROR(VLOOKUP(J43,'Emissions Factors'!$B$80:$C$132,2,0))=TRUE,0,VLOOKUP(J43,'Emissions Factors'!$B$80:$C$132,2,0))</f>
        <v>0</v>
      </c>
      <c r="AA43" s="162">
        <f t="shared" si="6"/>
        <v>0</v>
      </c>
      <c r="AB43" s="282"/>
      <c r="AC43" s="418">
        <f t="shared" si="5"/>
        <v>0</v>
      </c>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c r="BU43" s="198"/>
      <c r="BV43" s="198"/>
      <c r="BW43" s="198"/>
      <c r="BX43" s="198"/>
      <c r="BY43" s="198"/>
      <c r="BZ43" s="198"/>
      <c r="CA43" s="198"/>
      <c r="CB43" s="198"/>
      <c r="CC43" s="198"/>
      <c r="CD43" s="198"/>
      <c r="CE43" s="198"/>
      <c r="CF43" s="198"/>
      <c r="CG43" s="198"/>
      <c r="CH43" s="198"/>
      <c r="CI43" s="198"/>
      <c r="CJ43" s="198"/>
      <c r="CK43" s="198"/>
      <c r="CL43" s="198"/>
      <c r="CM43" s="198"/>
      <c r="CN43" s="198"/>
      <c r="CO43" s="198"/>
      <c r="CP43" s="198"/>
      <c r="CQ43" s="198"/>
      <c r="CR43" s="198"/>
      <c r="CS43" s="198"/>
      <c r="CT43" s="198"/>
      <c r="CU43" s="198"/>
      <c r="CV43" s="198"/>
      <c r="CW43" s="198"/>
      <c r="CX43" s="198"/>
      <c r="CY43" s="198"/>
      <c r="CZ43" s="198"/>
      <c r="DA43" s="198"/>
      <c r="DB43" s="198"/>
      <c r="DC43" s="198"/>
      <c r="DD43" s="198"/>
      <c r="DE43" s="198"/>
      <c r="DF43" s="198"/>
      <c r="DG43" s="198"/>
      <c r="DH43" s="198"/>
      <c r="DI43" s="198"/>
      <c r="DJ43" s="198"/>
      <c r="DK43" s="198"/>
      <c r="DL43" s="198"/>
      <c r="DM43" s="198"/>
      <c r="DN43" s="198"/>
      <c r="DO43" s="198"/>
      <c r="DP43" s="198"/>
      <c r="DQ43" s="198"/>
      <c r="DR43" s="198"/>
      <c r="DS43" s="198"/>
      <c r="DT43" s="198"/>
      <c r="DU43" s="198"/>
      <c r="DV43" s="198"/>
      <c r="DW43" s="198"/>
      <c r="DX43" s="198"/>
      <c r="DY43" s="198"/>
      <c r="DZ43" s="198"/>
      <c r="EA43" s="198"/>
    </row>
    <row r="44" spans="1:131" s="199" customFormat="1" ht="13" x14ac:dyDescent="0.15">
      <c r="A44" s="198"/>
      <c r="B44" s="529" t="s">
        <v>115</v>
      </c>
      <c r="C44" s="530"/>
      <c r="D44" s="523"/>
      <c r="E44" s="525"/>
      <c r="F44" s="524"/>
      <c r="G44" s="526"/>
      <c r="H44" s="527"/>
      <c r="I44" s="528"/>
      <c r="J44" s="523"/>
      <c r="K44" s="525"/>
      <c r="L44" s="523" t="s">
        <v>310</v>
      </c>
      <c r="M44" s="524"/>
      <c r="N44" s="521">
        <v>12</v>
      </c>
      <c r="O44" s="522"/>
      <c r="P44" s="394" t="s">
        <v>310</v>
      </c>
      <c r="Q44" s="169">
        <f>IF(T44,VLOOKUP(B44,'Emissions Factors'!$B$145:$F$152,3,FALSE),0)</f>
        <v>0</v>
      </c>
      <c r="R44" s="169">
        <f t="shared" si="0"/>
        <v>1</v>
      </c>
      <c r="S44" s="168">
        <f>VLOOKUP(B44,'Emissions Factors'!$B$145:$F$152,2,FALSE)</f>
        <v>0.03</v>
      </c>
      <c r="T44" s="169" t="b">
        <f t="shared" si="1"/>
        <v>0</v>
      </c>
      <c r="U44" s="168">
        <f>IF(W44,VLOOKUP(B44,'Emissions Factors'!$B$145:$F$152,4,FALSE),0)</f>
        <v>0</v>
      </c>
      <c r="V44" s="168">
        <f>VLOOKUP(B44,'Emissions Factors'!$B$145:$F$152,5,FALSE)</f>
        <v>0.9</v>
      </c>
      <c r="W44" s="169" t="b">
        <f t="shared" si="2"/>
        <v>0</v>
      </c>
      <c r="X44" s="170">
        <f t="shared" si="3"/>
        <v>0</v>
      </c>
      <c r="Y44" s="171">
        <f>X44*'Emissions Factors'!$C$24</f>
        <v>0</v>
      </c>
      <c r="Z44" s="144">
        <f>IF(ISERROR(VLOOKUP(J44,'Emissions Factors'!$B$80:$C$132,2,0))=TRUE,0,VLOOKUP(J44,'Emissions Factors'!$B$80:$C$132,2,0))</f>
        <v>0</v>
      </c>
      <c r="AA44" s="162">
        <f t="shared" si="6"/>
        <v>0</v>
      </c>
      <c r="AB44" s="282"/>
      <c r="AC44" s="418">
        <f t="shared" si="5"/>
        <v>0</v>
      </c>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8"/>
      <c r="DJ44" s="198"/>
      <c r="DK44" s="198"/>
      <c r="DL44" s="198"/>
      <c r="DM44" s="198"/>
      <c r="DN44" s="198"/>
      <c r="DO44" s="198"/>
      <c r="DP44" s="198"/>
      <c r="DQ44" s="198"/>
      <c r="DR44" s="198"/>
      <c r="DS44" s="198"/>
      <c r="DT44" s="198"/>
      <c r="DU44" s="198"/>
      <c r="DV44" s="198"/>
      <c r="DW44" s="198"/>
      <c r="DX44" s="198"/>
      <c r="DY44" s="198"/>
      <c r="DZ44" s="198"/>
      <c r="EA44" s="198"/>
    </row>
    <row r="45" spans="1:131" s="199" customFormat="1" ht="13" x14ac:dyDescent="0.15">
      <c r="A45" s="198"/>
      <c r="B45" s="529" t="s">
        <v>115</v>
      </c>
      <c r="C45" s="530"/>
      <c r="D45" s="523"/>
      <c r="E45" s="525"/>
      <c r="F45" s="524"/>
      <c r="G45" s="526"/>
      <c r="H45" s="527"/>
      <c r="I45" s="528"/>
      <c r="J45" s="523"/>
      <c r="K45" s="525"/>
      <c r="L45" s="523" t="s">
        <v>310</v>
      </c>
      <c r="M45" s="524"/>
      <c r="N45" s="521">
        <v>12</v>
      </c>
      <c r="O45" s="522"/>
      <c r="P45" s="394" t="s">
        <v>310</v>
      </c>
      <c r="Q45" s="169">
        <f>IF(T45,VLOOKUP(B45,'Emissions Factors'!$B$145:$F$152,3,FALSE),0)</f>
        <v>0</v>
      </c>
      <c r="R45" s="169">
        <f t="shared" si="0"/>
        <v>1</v>
      </c>
      <c r="S45" s="168">
        <f>VLOOKUP(B45,'Emissions Factors'!$B$145:$F$152,2,FALSE)</f>
        <v>0.03</v>
      </c>
      <c r="T45" s="169" t="b">
        <f t="shared" si="1"/>
        <v>0</v>
      </c>
      <c r="U45" s="168">
        <f>IF(W45,VLOOKUP(B45,'Emissions Factors'!$B$145:$F$152,4,FALSE),0)</f>
        <v>0</v>
      </c>
      <c r="V45" s="168">
        <f>VLOOKUP(B45,'Emissions Factors'!$B$145:$F$152,5,FALSE)</f>
        <v>0.9</v>
      </c>
      <c r="W45" s="169" t="b">
        <f t="shared" si="2"/>
        <v>0</v>
      </c>
      <c r="X45" s="170">
        <f t="shared" si="3"/>
        <v>0</v>
      </c>
      <c r="Y45" s="171">
        <f>X45*'Emissions Factors'!$C$24</f>
        <v>0</v>
      </c>
      <c r="Z45" s="144">
        <f>IF(ISERROR(VLOOKUP(J45,'Emissions Factors'!$B$80:$C$132,2,0))=TRUE,0,VLOOKUP(J45,'Emissions Factors'!$B$80:$C$132,2,0))</f>
        <v>0</v>
      </c>
      <c r="AA45" s="162">
        <f t="shared" si="6"/>
        <v>0</v>
      </c>
      <c r="AB45" s="282"/>
      <c r="AC45" s="418">
        <f t="shared" si="5"/>
        <v>0</v>
      </c>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98"/>
      <c r="BY45" s="198"/>
      <c r="BZ45" s="198"/>
      <c r="CA45" s="198"/>
      <c r="CB45" s="198"/>
      <c r="CC45" s="198"/>
      <c r="CD45" s="198"/>
      <c r="CE45" s="198"/>
      <c r="CF45" s="198"/>
      <c r="CG45" s="198"/>
      <c r="CH45" s="198"/>
      <c r="CI45" s="198"/>
      <c r="CJ45" s="198"/>
      <c r="CK45" s="198"/>
      <c r="CL45" s="198"/>
      <c r="CM45" s="198"/>
      <c r="CN45" s="198"/>
      <c r="CO45" s="198"/>
      <c r="CP45" s="198"/>
      <c r="CQ45" s="198"/>
      <c r="CR45" s="198"/>
      <c r="CS45" s="198"/>
      <c r="CT45" s="198"/>
      <c r="CU45" s="198"/>
      <c r="CV45" s="198"/>
      <c r="CW45" s="198"/>
      <c r="CX45" s="198"/>
      <c r="CY45" s="198"/>
      <c r="CZ45" s="198"/>
      <c r="DA45" s="198"/>
      <c r="DB45" s="198"/>
      <c r="DC45" s="198"/>
      <c r="DD45" s="198"/>
      <c r="DE45" s="198"/>
      <c r="DF45" s="198"/>
      <c r="DG45" s="198"/>
      <c r="DH45" s="198"/>
      <c r="DI45" s="198"/>
      <c r="DJ45" s="198"/>
      <c r="DK45" s="198"/>
      <c r="DL45" s="198"/>
      <c r="DM45" s="198"/>
      <c r="DN45" s="198"/>
      <c r="DO45" s="198"/>
      <c r="DP45" s="198"/>
      <c r="DQ45" s="198"/>
      <c r="DR45" s="198"/>
      <c r="DS45" s="198"/>
      <c r="DT45" s="198"/>
      <c r="DU45" s="198"/>
      <c r="DV45" s="198"/>
      <c r="DW45" s="198"/>
      <c r="DX45" s="198"/>
      <c r="DY45" s="198"/>
      <c r="DZ45" s="198"/>
      <c r="EA45" s="198"/>
    </row>
    <row r="46" spans="1:131" s="199" customFormat="1" ht="13" x14ac:dyDescent="0.15">
      <c r="A46" s="198"/>
      <c r="B46" s="529" t="s">
        <v>115</v>
      </c>
      <c r="C46" s="530"/>
      <c r="D46" s="523"/>
      <c r="E46" s="525"/>
      <c r="F46" s="524"/>
      <c r="G46" s="526"/>
      <c r="H46" s="527"/>
      <c r="I46" s="528"/>
      <c r="J46" s="523"/>
      <c r="K46" s="525"/>
      <c r="L46" s="523" t="s">
        <v>310</v>
      </c>
      <c r="M46" s="524"/>
      <c r="N46" s="521">
        <v>12</v>
      </c>
      <c r="O46" s="522"/>
      <c r="P46" s="394" t="s">
        <v>310</v>
      </c>
      <c r="Q46" s="169">
        <f>IF(T46,VLOOKUP(B46,'Emissions Factors'!$B$145:$F$152,3,FALSE),0)</f>
        <v>0</v>
      </c>
      <c r="R46" s="169">
        <f t="shared" si="0"/>
        <v>1</v>
      </c>
      <c r="S46" s="168">
        <f>VLOOKUP(B46,'Emissions Factors'!$B$145:$F$152,2,FALSE)</f>
        <v>0.03</v>
      </c>
      <c r="T46" s="169" t="b">
        <f t="shared" si="1"/>
        <v>0</v>
      </c>
      <c r="U46" s="168">
        <f>IF(W46,VLOOKUP(B46,'Emissions Factors'!$B$145:$F$152,4,FALSE),0)</f>
        <v>0</v>
      </c>
      <c r="V46" s="168">
        <f>VLOOKUP(B46,'Emissions Factors'!$B$145:$F$152,5,FALSE)</f>
        <v>0.9</v>
      </c>
      <c r="W46" s="169" t="b">
        <f t="shared" si="2"/>
        <v>0</v>
      </c>
      <c r="X46" s="170">
        <f t="shared" si="3"/>
        <v>0</v>
      </c>
      <c r="Y46" s="171">
        <f>X46*'Emissions Factors'!$C$24</f>
        <v>0</v>
      </c>
      <c r="Z46" s="144">
        <f>IF(ISERROR(VLOOKUP(J46,'Emissions Factors'!$B$80:$C$132,2,0))=TRUE,0,VLOOKUP(J46,'Emissions Factors'!$B$80:$C$132,2,0))</f>
        <v>0</v>
      </c>
      <c r="AA46" s="162">
        <f t="shared" si="6"/>
        <v>0</v>
      </c>
      <c r="AB46" s="282"/>
      <c r="AC46" s="418">
        <f t="shared" si="5"/>
        <v>0</v>
      </c>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8"/>
      <c r="EA46" s="198"/>
    </row>
    <row r="47" spans="1:131" s="199" customFormat="1" ht="13" x14ac:dyDescent="0.15">
      <c r="A47" s="198"/>
      <c r="B47" s="529" t="s">
        <v>23</v>
      </c>
      <c r="C47" s="530"/>
      <c r="D47" s="523"/>
      <c r="E47" s="525"/>
      <c r="F47" s="524"/>
      <c r="G47" s="526"/>
      <c r="H47" s="527"/>
      <c r="I47" s="528"/>
      <c r="J47" s="523"/>
      <c r="K47" s="525"/>
      <c r="L47" s="523" t="s">
        <v>310</v>
      </c>
      <c r="M47" s="524"/>
      <c r="N47" s="521">
        <v>12</v>
      </c>
      <c r="O47" s="522"/>
      <c r="P47" s="394" t="s">
        <v>310</v>
      </c>
      <c r="Q47" s="169">
        <f>IF(T47,VLOOKUP(B47,'Emissions Factors'!$B$145:$F$152,3,FALSE),0)</f>
        <v>0</v>
      </c>
      <c r="R47" s="169">
        <f t="shared" si="0"/>
        <v>1</v>
      </c>
      <c r="S47" s="168">
        <f>VLOOKUP(B47,'Emissions Factors'!$B$145:$F$152,2,FALSE)</f>
        <v>0.01</v>
      </c>
      <c r="T47" s="169" t="b">
        <f t="shared" si="1"/>
        <v>0</v>
      </c>
      <c r="U47" s="168">
        <f>IF(W47,VLOOKUP(B47,'Emissions Factors'!$B$145:$F$152,4,FALSE),0)</f>
        <v>0</v>
      </c>
      <c r="V47" s="168">
        <f>VLOOKUP(B47,'Emissions Factors'!$B$145:$F$152,5,FALSE)</f>
        <v>0.95</v>
      </c>
      <c r="W47" s="169" t="b">
        <f t="shared" si="2"/>
        <v>0</v>
      </c>
      <c r="X47" s="170">
        <f t="shared" si="3"/>
        <v>0</v>
      </c>
      <c r="Y47" s="171">
        <f>X47*'Emissions Factors'!$C$24</f>
        <v>0</v>
      </c>
      <c r="Z47" s="144">
        <f>IF(ISERROR(VLOOKUP(J47,'Emissions Factors'!$B$80:$C$132,2,0))=TRUE,0,VLOOKUP(J47,'Emissions Factors'!$B$80:$C$132,2,0))</f>
        <v>0</v>
      </c>
      <c r="AA47" s="162">
        <f t="shared" si="6"/>
        <v>0</v>
      </c>
      <c r="AB47" s="282"/>
      <c r="AC47" s="418">
        <f t="shared" si="5"/>
        <v>0</v>
      </c>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8"/>
      <c r="CM47" s="198"/>
      <c r="CN47" s="198"/>
      <c r="CO47" s="198"/>
      <c r="CP47" s="198"/>
      <c r="CQ47" s="198"/>
      <c r="CR47" s="198"/>
      <c r="CS47" s="198"/>
      <c r="CT47" s="198"/>
      <c r="CU47" s="198"/>
      <c r="CV47" s="198"/>
      <c r="CW47" s="198"/>
      <c r="CX47" s="198"/>
      <c r="CY47" s="198"/>
      <c r="CZ47" s="198"/>
      <c r="DA47" s="198"/>
      <c r="DB47" s="198"/>
      <c r="DC47" s="198"/>
      <c r="DD47" s="198"/>
      <c r="DE47" s="198"/>
      <c r="DF47" s="198"/>
      <c r="DG47" s="198"/>
      <c r="DH47" s="198"/>
      <c r="DI47" s="198"/>
      <c r="DJ47" s="198"/>
      <c r="DK47" s="198"/>
      <c r="DL47" s="198"/>
      <c r="DM47" s="198"/>
      <c r="DN47" s="198"/>
      <c r="DO47" s="198"/>
      <c r="DP47" s="198"/>
      <c r="DQ47" s="198"/>
      <c r="DR47" s="198"/>
      <c r="DS47" s="198"/>
      <c r="DT47" s="198"/>
      <c r="DU47" s="198"/>
      <c r="DV47" s="198"/>
      <c r="DW47" s="198"/>
      <c r="DX47" s="198"/>
      <c r="DY47" s="198"/>
      <c r="DZ47" s="198"/>
      <c r="EA47" s="198"/>
    </row>
    <row r="48" spans="1:131" s="199" customFormat="1" ht="13" x14ac:dyDescent="0.15">
      <c r="A48" s="198"/>
      <c r="B48" s="529" t="s">
        <v>23</v>
      </c>
      <c r="C48" s="530"/>
      <c r="D48" s="523"/>
      <c r="E48" s="525"/>
      <c r="F48" s="524"/>
      <c r="G48" s="526"/>
      <c r="H48" s="527"/>
      <c r="I48" s="528"/>
      <c r="J48" s="523"/>
      <c r="K48" s="525"/>
      <c r="L48" s="523" t="s">
        <v>310</v>
      </c>
      <c r="M48" s="524"/>
      <c r="N48" s="521">
        <v>12</v>
      </c>
      <c r="O48" s="522"/>
      <c r="P48" s="394" t="s">
        <v>310</v>
      </c>
      <c r="Q48" s="169">
        <f>IF(T48,VLOOKUP(B48,'Emissions Factors'!$B$145:$F$152,3,FALSE),0)</f>
        <v>0</v>
      </c>
      <c r="R48" s="169">
        <f t="shared" si="0"/>
        <v>1</v>
      </c>
      <c r="S48" s="168">
        <f>VLOOKUP(B48,'Emissions Factors'!$B$145:$F$152,2,FALSE)</f>
        <v>0.01</v>
      </c>
      <c r="T48" s="169" t="b">
        <f t="shared" si="1"/>
        <v>0</v>
      </c>
      <c r="U48" s="168">
        <f>IF(W48,VLOOKUP(B48,'Emissions Factors'!$B$145:$F$152,4,FALSE),0)</f>
        <v>0</v>
      </c>
      <c r="V48" s="168">
        <f>VLOOKUP(B48,'Emissions Factors'!$B$145:$F$152,5,FALSE)</f>
        <v>0.95</v>
      </c>
      <c r="W48" s="169" t="b">
        <f t="shared" si="2"/>
        <v>0</v>
      </c>
      <c r="X48" s="170">
        <f t="shared" si="3"/>
        <v>0</v>
      </c>
      <c r="Y48" s="171">
        <f>X48*'Emissions Factors'!$C$24</f>
        <v>0</v>
      </c>
      <c r="Z48" s="144">
        <f>IF(ISERROR(VLOOKUP(J48,'Emissions Factors'!$B$80:$C$132,2,0))=TRUE,0,VLOOKUP(J48,'Emissions Factors'!$B$80:$C$132,2,0))</f>
        <v>0</v>
      </c>
      <c r="AA48" s="162">
        <f t="shared" si="6"/>
        <v>0</v>
      </c>
      <c r="AB48" s="282"/>
      <c r="AC48" s="418">
        <f t="shared" si="5"/>
        <v>0</v>
      </c>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c r="DL48" s="198"/>
      <c r="DM48" s="198"/>
      <c r="DN48" s="198"/>
      <c r="DO48" s="198"/>
      <c r="DP48" s="198"/>
      <c r="DQ48" s="198"/>
      <c r="DR48" s="198"/>
      <c r="DS48" s="198"/>
      <c r="DT48" s="198"/>
      <c r="DU48" s="198"/>
      <c r="DV48" s="198"/>
      <c r="DW48" s="198"/>
      <c r="DX48" s="198"/>
      <c r="DY48" s="198"/>
      <c r="DZ48" s="198"/>
      <c r="EA48" s="198"/>
    </row>
    <row r="49" spans="1:131" s="199" customFormat="1" ht="13" x14ac:dyDescent="0.15">
      <c r="A49" s="198"/>
      <c r="B49" s="529" t="s">
        <v>23</v>
      </c>
      <c r="C49" s="530"/>
      <c r="D49" s="523"/>
      <c r="E49" s="525"/>
      <c r="F49" s="524"/>
      <c r="G49" s="526"/>
      <c r="H49" s="527"/>
      <c r="I49" s="528"/>
      <c r="J49" s="523"/>
      <c r="K49" s="525"/>
      <c r="L49" s="523" t="s">
        <v>310</v>
      </c>
      <c r="M49" s="524"/>
      <c r="N49" s="521">
        <v>12</v>
      </c>
      <c r="O49" s="522"/>
      <c r="P49" s="394" t="s">
        <v>310</v>
      </c>
      <c r="Q49" s="169">
        <f>IF(T49,VLOOKUP(B49,'Emissions Factors'!$B$145:$F$152,3,FALSE),0)</f>
        <v>0</v>
      </c>
      <c r="R49" s="169">
        <f t="shared" si="0"/>
        <v>1</v>
      </c>
      <c r="S49" s="168">
        <f>VLOOKUP(B49,'Emissions Factors'!$B$145:$F$152,2,FALSE)</f>
        <v>0.01</v>
      </c>
      <c r="T49" s="169" t="b">
        <f t="shared" si="1"/>
        <v>0</v>
      </c>
      <c r="U49" s="168">
        <f>IF(W49,VLOOKUP(B49,'Emissions Factors'!$B$145:$F$152,4,FALSE),0)</f>
        <v>0</v>
      </c>
      <c r="V49" s="168">
        <f>VLOOKUP(B49,'Emissions Factors'!$B$145:$F$152,5,FALSE)</f>
        <v>0.95</v>
      </c>
      <c r="W49" s="169" t="b">
        <f t="shared" si="2"/>
        <v>0</v>
      </c>
      <c r="X49" s="170">
        <f t="shared" si="3"/>
        <v>0</v>
      </c>
      <c r="Y49" s="171">
        <f>X49*'Emissions Factors'!$C$24</f>
        <v>0</v>
      </c>
      <c r="Z49" s="144">
        <f>IF(ISERROR(VLOOKUP(J49,'Emissions Factors'!$B$80:$C$132,2,0))=TRUE,0,VLOOKUP(J49,'Emissions Factors'!$B$80:$C$132,2,0))</f>
        <v>0</v>
      </c>
      <c r="AA49" s="162">
        <f t="shared" si="6"/>
        <v>0</v>
      </c>
      <c r="AB49" s="282"/>
      <c r="AC49" s="418">
        <f t="shared" si="5"/>
        <v>0</v>
      </c>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198"/>
      <c r="CD49" s="198"/>
      <c r="CE49" s="198"/>
      <c r="CF49" s="198"/>
      <c r="CG49" s="198"/>
      <c r="CH49" s="198"/>
      <c r="CI49" s="198"/>
      <c r="CJ49" s="198"/>
      <c r="CK49" s="198"/>
      <c r="CL49" s="198"/>
      <c r="CM49" s="198"/>
      <c r="CN49" s="198"/>
      <c r="CO49" s="198"/>
      <c r="CP49" s="198"/>
      <c r="CQ49" s="198"/>
      <c r="CR49" s="198"/>
      <c r="CS49" s="198"/>
      <c r="CT49" s="198"/>
      <c r="CU49" s="198"/>
      <c r="CV49" s="198"/>
      <c r="CW49" s="198"/>
      <c r="CX49" s="198"/>
      <c r="CY49" s="198"/>
      <c r="CZ49" s="198"/>
      <c r="DA49" s="198"/>
      <c r="DB49" s="198"/>
      <c r="DC49" s="198"/>
      <c r="DD49" s="198"/>
      <c r="DE49" s="198"/>
      <c r="DF49" s="198"/>
      <c r="DG49" s="198"/>
      <c r="DH49" s="198"/>
      <c r="DI49" s="198"/>
      <c r="DJ49" s="198"/>
      <c r="DK49" s="198"/>
      <c r="DL49" s="198"/>
      <c r="DM49" s="198"/>
      <c r="DN49" s="198"/>
      <c r="DO49" s="198"/>
      <c r="DP49" s="198"/>
      <c r="DQ49" s="198"/>
      <c r="DR49" s="198"/>
      <c r="DS49" s="198"/>
      <c r="DT49" s="198"/>
      <c r="DU49" s="198"/>
      <c r="DV49" s="198"/>
      <c r="DW49" s="198"/>
      <c r="DX49" s="198"/>
      <c r="DY49" s="198"/>
      <c r="DZ49" s="198"/>
      <c r="EA49" s="198"/>
    </row>
    <row r="50" spans="1:131" s="199" customFormat="1" ht="13" x14ac:dyDescent="0.15">
      <c r="A50" s="198"/>
      <c r="B50" s="529" t="s">
        <v>23</v>
      </c>
      <c r="C50" s="530"/>
      <c r="D50" s="523"/>
      <c r="E50" s="525"/>
      <c r="F50" s="524"/>
      <c r="G50" s="526"/>
      <c r="H50" s="527"/>
      <c r="I50" s="528"/>
      <c r="J50" s="523"/>
      <c r="K50" s="525"/>
      <c r="L50" s="523" t="s">
        <v>310</v>
      </c>
      <c r="M50" s="524"/>
      <c r="N50" s="521">
        <v>12</v>
      </c>
      <c r="O50" s="522"/>
      <c r="P50" s="394" t="s">
        <v>310</v>
      </c>
      <c r="Q50" s="169">
        <f>IF(T50,VLOOKUP(B50,'Emissions Factors'!$B$145:$F$152,3,FALSE),0)</f>
        <v>0</v>
      </c>
      <c r="R50" s="169">
        <f t="shared" si="0"/>
        <v>1</v>
      </c>
      <c r="S50" s="168">
        <f>VLOOKUP(B50,'Emissions Factors'!$B$145:$F$152,2,FALSE)</f>
        <v>0.01</v>
      </c>
      <c r="T50" s="169" t="b">
        <f t="shared" si="1"/>
        <v>0</v>
      </c>
      <c r="U50" s="168">
        <f>IF(W50,VLOOKUP(B50,'Emissions Factors'!$B$145:$F$152,4,FALSE),0)</f>
        <v>0</v>
      </c>
      <c r="V50" s="168">
        <f>VLOOKUP(B50,'Emissions Factors'!$B$145:$F$152,5,FALSE)</f>
        <v>0.95</v>
      </c>
      <c r="W50" s="169" t="b">
        <f t="shared" si="2"/>
        <v>0</v>
      </c>
      <c r="X50" s="170">
        <f t="shared" si="3"/>
        <v>0</v>
      </c>
      <c r="Y50" s="171">
        <f>X50*'Emissions Factors'!$C$24</f>
        <v>0</v>
      </c>
      <c r="Z50" s="144">
        <f>IF(ISERROR(VLOOKUP(J50,'Emissions Factors'!$B$80:$C$132,2,0))=TRUE,0,VLOOKUP(J50,'Emissions Factors'!$B$80:$C$132,2,0))</f>
        <v>0</v>
      </c>
      <c r="AA50" s="162">
        <f t="shared" si="6"/>
        <v>0</v>
      </c>
      <c r="AB50" s="282"/>
      <c r="AC50" s="418">
        <f t="shared" si="5"/>
        <v>0</v>
      </c>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8"/>
      <c r="BR50" s="198"/>
      <c r="BS50" s="198"/>
      <c r="BT50" s="198"/>
      <c r="BU50" s="198"/>
      <c r="BV50" s="198"/>
      <c r="BW50" s="198"/>
      <c r="BX50" s="198"/>
      <c r="BY50" s="198"/>
      <c r="BZ50" s="198"/>
      <c r="CA50" s="198"/>
      <c r="CB50" s="198"/>
      <c r="CC50" s="198"/>
      <c r="CD50" s="198"/>
      <c r="CE50" s="198"/>
      <c r="CF50" s="198"/>
      <c r="CG50" s="198"/>
      <c r="CH50" s="198"/>
      <c r="CI50" s="198"/>
      <c r="CJ50" s="198"/>
      <c r="CK50" s="198"/>
      <c r="CL50" s="198"/>
      <c r="CM50" s="198"/>
      <c r="CN50" s="198"/>
      <c r="CO50" s="198"/>
      <c r="CP50" s="198"/>
      <c r="CQ50" s="198"/>
      <c r="CR50" s="198"/>
      <c r="CS50" s="198"/>
      <c r="CT50" s="198"/>
      <c r="CU50" s="198"/>
      <c r="CV50" s="198"/>
      <c r="CW50" s="198"/>
      <c r="CX50" s="198"/>
      <c r="CY50" s="198"/>
      <c r="CZ50" s="198"/>
      <c r="DA50" s="198"/>
      <c r="DB50" s="198"/>
      <c r="DC50" s="198"/>
      <c r="DD50" s="198"/>
      <c r="DE50" s="198"/>
      <c r="DF50" s="198"/>
      <c r="DG50" s="198"/>
      <c r="DH50" s="198"/>
      <c r="DI50" s="198"/>
      <c r="DJ50" s="198"/>
      <c r="DK50" s="198"/>
      <c r="DL50" s="198"/>
      <c r="DM50" s="198"/>
      <c r="DN50" s="198"/>
      <c r="DO50" s="198"/>
      <c r="DP50" s="198"/>
      <c r="DQ50" s="198"/>
      <c r="DR50" s="198"/>
      <c r="DS50" s="198"/>
      <c r="DT50" s="198"/>
      <c r="DU50" s="198"/>
      <c r="DV50" s="198"/>
      <c r="DW50" s="198"/>
      <c r="DX50" s="198"/>
      <c r="DY50" s="198"/>
      <c r="DZ50" s="198"/>
      <c r="EA50" s="198"/>
    </row>
    <row r="51" spans="1:131" s="199" customFormat="1" ht="13" x14ac:dyDescent="0.15">
      <c r="A51" s="198"/>
      <c r="B51" s="529" t="s">
        <v>23</v>
      </c>
      <c r="C51" s="530"/>
      <c r="D51" s="523"/>
      <c r="E51" s="525"/>
      <c r="F51" s="524"/>
      <c r="G51" s="526"/>
      <c r="H51" s="527"/>
      <c r="I51" s="528"/>
      <c r="J51" s="523"/>
      <c r="K51" s="525"/>
      <c r="L51" s="523" t="s">
        <v>310</v>
      </c>
      <c r="M51" s="524"/>
      <c r="N51" s="521">
        <v>12</v>
      </c>
      <c r="O51" s="522"/>
      <c r="P51" s="394" t="s">
        <v>310</v>
      </c>
      <c r="Q51" s="169">
        <f>IF(T51,VLOOKUP(B51,'Emissions Factors'!$B$145:$F$152,3,FALSE),0)</f>
        <v>0</v>
      </c>
      <c r="R51" s="169">
        <f t="shared" si="0"/>
        <v>1</v>
      </c>
      <c r="S51" s="168">
        <f>VLOOKUP(B51,'Emissions Factors'!$B$145:$F$152,2,FALSE)</f>
        <v>0.01</v>
      </c>
      <c r="T51" s="169" t="b">
        <f t="shared" si="1"/>
        <v>0</v>
      </c>
      <c r="U51" s="168">
        <f>IF(W51,VLOOKUP(B51,'Emissions Factors'!$B$145:$F$152,4,FALSE),0)</f>
        <v>0</v>
      </c>
      <c r="V51" s="168">
        <f>VLOOKUP(B51,'Emissions Factors'!$B$145:$F$152,5,FALSE)</f>
        <v>0.95</v>
      </c>
      <c r="W51" s="169" t="b">
        <f t="shared" si="2"/>
        <v>0</v>
      </c>
      <c r="X51" s="170">
        <f t="shared" si="3"/>
        <v>0</v>
      </c>
      <c r="Y51" s="171">
        <f>X51*'Emissions Factors'!$C$24</f>
        <v>0</v>
      </c>
      <c r="Z51" s="144">
        <f>IF(ISERROR(VLOOKUP(J51,'Emissions Factors'!$B$80:$C$132,2,0))=TRUE,0,VLOOKUP(J51,'Emissions Factors'!$B$80:$C$132,2,0))</f>
        <v>0</v>
      </c>
      <c r="AA51" s="162">
        <f t="shared" si="6"/>
        <v>0</v>
      </c>
      <c r="AB51" s="282"/>
      <c r="AC51" s="418">
        <f t="shared" si="5"/>
        <v>0</v>
      </c>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8"/>
      <c r="BR51" s="198"/>
      <c r="BS51" s="198"/>
      <c r="BT51" s="198"/>
      <c r="BU51" s="198"/>
      <c r="BV51" s="198"/>
      <c r="BW51" s="198"/>
      <c r="BX51" s="198"/>
      <c r="BY51" s="198"/>
      <c r="BZ51" s="198"/>
      <c r="CA51" s="198"/>
      <c r="CB51" s="198"/>
      <c r="CC51" s="198"/>
      <c r="CD51" s="198"/>
      <c r="CE51" s="198"/>
      <c r="CF51" s="198"/>
      <c r="CG51" s="198"/>
      <c r="CH51" s="198"/>
      <c r="CI51" s="198"/>
      <c r="CJ51" s="198"/>
      <c r="CK51" s="198"/>
      <c r="CL51" s="198"/>
      <c r="CM51" s="198"/>
      <c r="CN51" s="198"/>
      <c r="CO51" s="198"/>
      <c r="CP51" s="198"/>
      <c r="CQ51" s="198"/>
      <c r="CR51" s="198"/>
      <c r="CS51" s="198"/>
      <c r="CT51" s="198"/>
      <c r="CU51" s="198"/>
      <c r="CV51" s="198"/>
      <c r="CW51" s="198"/>
      <c r="CX51" s="198"/>
      <c r="CY51" s="198"/>
      <c r="CZ51" s="198"/>
      <c r="DA51" s="198"/>
      <c r="DB51" s="198"/>
      <c r="DC51" s="198"/>
      <c r="DD51" s="198"/>
      <c r="DE51" s="198"/>
      <c r="DF51" s="198"/>
      <c r="DG51" s="198"/>
      <c r="DH51" s="198"/>
      <c r="DI51" s="198"/>
      <c r="DJ51" s="198"/>
      <c r="DK51" s="198"/>
      <c r="DL51" s="198"/>
      <c r="DM51" s="198"/>
      <c r="DN51" s="198"/>
      <c r="DO51" s="198"/>
      <c r="DP51" s="198"/>
      <c r="DQ51" s="198"/>
      <c r="DR51" s="198"/>
      <c r="DS51" s="198"/>
      <c r="DT51" s="198"/>
      <c r="DU51" s="198"/>
      <c r="DV51" s="198"/>
      <c r="DW51" s="198"/>
      <c r="DX51" s="198"/>
      <c r="DY51" s="198"/>
      <c r="DZ51" s="198"/>
      <c r="EA51" s="198"/>
    </row>
    <row r="52" spans="1:131" s="199" customFormat="1" ht="13" x14ac:dyDescent="0.15">
      <c r="A52" s="198"/>
      <c r="B52" s="529" t="s">
        <v>23</v>
      </c>
      <c r="C52" s="530"/>
      <c r="D52" s="523"/>
      <c r="E52" s="525"/>
      <c r="F52" s="524"/>
      <c r="G52" s="526"/>
      <c r="H52" s="527"/>
      <c r="I52" s="528"/>
      <c r="J52" s="523"/>
      <c r="K52" s="525"/>
      <c r="L52" s="523" t="s">
        <v>310</v>
      </c>
      <c r="M52" s="524"/>
      <c r="N52" s="521">
        <v>12</v>
      </c>
      <c r="O52" s="522"/>
      <c r="P52" s="394" t="s">
        <v>310</v>
      </c>
      <c r="Q52" s="169">
        <f>IF(T52,VLOOKUP(B52,'Emissions Factors'!$B$145:$F$152,3,FALSE),0)</f>
        <v>0</v>
      </c>
      <c r="R52" s="169">
        <f t="shared" si="0"/>
        <v>1</v>
      </c>
      <c r="S52" s="168">
        <f>VLOOKUP(B52,'Emissions Factors'!$B$145:$F$152,2,FALSE)</f>
        <v>0.01</v>
      </c>
      <c r="T52" s="169" t="b">
        <f t="shared" si="1"/>
        <v>0</v>
      </c>
      <c r="U52" s="168">
        <f>IF(W52,VLOOKUP(B52,'Emissions Factors'!$B$145:$F$152,4,FALSE),0)</f>
        <v>0</v>
      </c>
      <c r="V52" s="168">
        <f>VLOOKUP(B52,'Emissions Factors'!$B$145:$F$152,5,FALSE)</f>
        <v>0.95</v>
      </c>
      <c r="W52" s="169" t="b">
        <f t="shared" si="2"/>
        <v>0</v>
      </c>
      <c r="X52" s="170">
        <f t="shared" si="3"/>
        <v>0</v>
      </c>
      <c r="Y52" s="171">
        <f>X52*'Emissions Factors'!$C$24</f>
        <v>0</v>
      </c>
      <c r="Z52" s="144">
        <f>IF(ISERROR(VLOOKUP(J52,'Emissions Factors'!$B$80:$C$132,2,0))=TRUE,0,VLOOKUP(J52,'Emissions Factors'!$B$80:$C$132,2,0))</f>
        <v>0</v>
      </c>
      <c r="AA52" s="162">
        <f t="shared" si="6"/>
        <v>0</v>
      </c>
      <c r="AB52" s="282"/>
      <c r="AC52" s="418">
        <f t="shared" si="5"/>
        <v>0</v>
      </c>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8"/>
      <c r="BR52" s="198"/>
      <c r="BS52" s="198"/>
      <c r="BT52" s="198"/>
      <c r="BU52" s="198"/>
      <c r="BV52" s="198"/>
      <c r="BW52" s="198"/>
      <c r="BX52" s="198"/>
      <c r="BY52" s="198"/>
      <c r="BZ52" s="198"/>
      <c r="CA52" s="198"/>
      <c r="CB52" s="198"/>
      <c r="CC52" s="198"/>
      <c r="CD52" s="198"/>
      <c r="CE52" s="198"/>
      <c r="CF52" s="198"/>
      <c r="CG52" s="198"/>
      <c r="CH52" s="198"/>
      <c r="CI52" s="198"/>
      <c r="CJ52" s="198"/>
      <c r="CK52" s="198"/>
      <c r="CL52" s="198"/>
      <c r="CM52" s="198"/>
      <c r="CN52" s="198"/>
      <c r="CO52" s="198"/>
      <c r="CP52" s="198"/>
      <c r="CQ52" s="198"/>
      <c r="CR52" s="198"/>
      <c r="CS52" s="198"/>
      <c r="CT52" s="198"/>
      <c r="CU52" s="198"/>
      <c r="CV52" s="198"/>
      <c r="CW52" s="198"/>
      <c r="CX52" s="198"/>
      <c r="CY52" s="198"/>
      <c r="CZ52" s="198"/>
      <c r="DA52" s="198"/>
      <c r="DB52" s="198"/>
      <c r="DC52" s="198"/>
      <c r="DD52" s="198"/>
      <c r="DE52" s="198"/>
      <c r="DF52" s="198"/>
      <c r="DG52" s="198"/>
      <c r="DH52" s="198"/>
      <c r="DI52" s="198"/>
      <c r="DJ52" s="198"/>
      <c r="DK52" s="198"/>
      <c r="DL52" s="198"/>
      <c r="DM52" s="198"/>
      <c r="DN52" s="198"/>
      <c r="DO52" s="198"/>
      <c r="DP52" s="198"/>
      <c r="DQ52" s="198"/>
      <c r="DR52" s="198"/>
      <c r="DS52" s="198"/>
      <c r="DT52" s="198"/>
      <c r="DU52" s="198"/>
      <c r="DV52" s="198"/>
      <c r="DW52" s="198"/>
      <c r="DX52" s="198"/>
      <c r="DY52" s="198"/>
      <c r="DZ52" s="198"/>
      <c r="EA52" s="198"/>
    </row>
    <row r="53" spans="1:131" s="199" customFormat="1" ht="13" x14ac:dyDescent="0.15">
      <c r="A53" s="198"/>
      <c r="B53" s="529" t="s">
        <v>23</v>
      </c>
      <c r="C53" s="530"/>
      <c r="D53" s="523"/>
      <c r="E53" s="525"/>
      <c r="F53" s="524"/>
      <c r="G53" s="526"/>
      <c r="H53" s="527"/>
      <c r="I53" s="528"/>
      <c r="J53" s="523"/>
      <c r="K53" s="525"/>
      <c r="L53" s="523" t="s">
        <v>310</v>
      </c>
      <c r="M53" s="524"/>
      <c r="N53" s="521">
        <v>12</v>
      </c>
      <c r="O53" s="522"/>
      <c r="P53" s="394" t="s">
        <v>310</v>
      </c>
      <c r="Q53" s="169">
        <f>IF(T53,VLOOKUP(B53,'Emissions Factors'!$B$145:$F$152,3,FALSE),0)</f>
        <v>0</v>
      </c>
      <c r="R53" s="169">
        <f t="shared" si="0"/>
        <v>1</v>
      </c>
      <c r="S53" s="168">
        <f>VLOOKUP(B53,'Emissions Factors'!$B$145:$F$152,2,FALSE)</f>
        <v>0.01</v>
      </c>
      <c r="T53" s="169" t="b">
        <f t="shared" si="1"/>
        <v>0</v>
      </c>
      <c r="U53" s="168">
        <f>IF(W53,VLOOKUP(B53,'Emissions Factors'!$B$145:$F$152,4,FALSE),0)</f>
        <v>0</v>
      </c>
      <c r="V53" s="168">
        <f>VLOOKUP(B53,'Emissions Factors'!$B$145:$F$152,5,FALSE)</f>
        <v>0.95</v>
      </c>
      <c r="W53" s="169" t="b">
        <f t="shared" si="2"/>
        <v>0</v>
      </c>
      <c r="X53" s="170">
        <f t="shared" si="3"/>
        <v>0</v>
      </c>
      <c r="Y53" s="171">
        <f>X53*'Emissions Factors'!$C$24</f>
        <v>0</v>
      </c>
      <c r="Z53" s="144">
        <f>IF(ISERROR(VLOOKUP(J53,'Emissions Factors'!$B$80:$C$132,2,0))=TRUE,0,VLOOKUP(J53,'Emissions Factors'!$B$80:$C$132,2,0))</f>
        <v>0</v>
      </c>
      <c r="AA53" s="162">
        <f t="shared" si="6"/>
        <v>0</v>
      </c>
      <c r="AB53" s="282"/>
      <c r="AC53" s="418">
        <f t="shared" si="5"/>
        <v>0</v>
      </c>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8"/>
      <c r="BR53" s="198"/>
      <c r="BS53" s="198"/>
      <c r="BT53" s="198"/>
      <c r="BU53" s="198"/>
      <c r="BV53" s="198"/>
      <c r="BW53" s="198"/>
      <c r="BX53" s="198"/>
      <c r="BY53" s="198"/>
      <c r="BZ53" s="198"/>
      <c r="CA53" s="198"/>
      <c r="CB53" s="198"/>
      <c r="CC53" s="198"/>
      <c r="CD53" s="198"/>
      <c r="CE53" s="198"/>
      <c r="CF53" s="198"/>
      <c r="CG53" s="198"/>
      <c r="CH53" s="198"/>
      <c r="CI53" s="198"/>
      <c r="CJ53" s="198"/>
      <c r="CK53" s="198"/>
      <c r="CL53" s="198"/>
      <c r="CM53" s="198"/>
      <c r="CN53" s="198"/>
      <c r="CO53" s="198"/>
      <c r="CP53" s="198"/>
      <c r="CQ53" s="198"/>
      <c r="CR53" s="198"/>
      <c r="CS53" s="198"/>
      <c r="CT53" s="198"/>
      <c r="CU53" s="198"/>
      <c r="CV53" s="198"/>
      <c r="CW53" s="198"/>
      <c r="CX53" s="198"/>
      <c r="CY53" s="198"/>
      <c r="CZ53" s="198"/>
      <c r="DA53" s="198"/>
      <c r="DB53" s="198"/>
      <c r="DC53" s="198"/>
      <c r="DD53" s="198"/>
      <c r="DE53" s="198"/>
      <c r="DF53" s="198"/>
      <c r="DG53" s="198"/>
      <c r="DH53" s="198"/>
      <c r="DI53" s="198"/>
      <c r="DJ53" s="198"/>
      <c r="DK53" s="198"/>
      <c r="DL53" s="198"/>
      <c r="DM53" s="198"/>
      <c r="DN53" s="198"/>
      <c r="DO53" s="198"/>
      <c r="DP53" s="198"/>
      <c r="DQ53" s="198"/>
      <c r="DR53" s="198"/>
      <c r="DS53" s="198"/>
      <c r="DT53" s="198"/>
      <c r="DU53" s="198"/>
      <c r="DV53" s="198"/>
      <c r="DW53" s="198"/>
      <c r="DX53" s="198"/>
      <c r="DY53" s="198"/>
      <c r="DZ53" s="198"/>
      <c r="EA53" s="198"/>
    </row>
    <row r="54" spans="1:131" s="199" customFormat="1" ht="13" x14ac:dyDescent="0.15">
      <c r="A54" s="198"/>
      <c r="B54" s="529" t="s">
        <v>23</v>
      </c>
      <c r="C54" s="530"/>
      <c r="D54" s="523"/>
      <c r="E54" s="525"/>
      <c r="F54" s="524"/>
      <c r="G54" s="526"/>
      <c r="H54" s="527"/>
      <c r="I54" s="528"/>
      <c r="J54" s="523"/>
      <c r="K54" s="525"/>
      <c r="L54" s="523" t="s">
        <v>310</v>
      </c>
      <c r="M54" s="524"/>
      <c r="N54" s="521">
        <v>12</v>
      </c>
      <c r="O54" s="522"/>
      <c r="P54" s="394" t="s">
        <v>310</v>
      </c>
      <c r="Q54" s="169">
        <f>IF(T54,VLOOKUP(B54,'Emissions Factors'!$B$145:$F$152,3,FALSE),0)</f>
        <v>0</v>
      </c>
      <c r="R54" s="169">
        <f t="shared" si="0"/>
        <v>1</v>
      </c>
      <c r="S54" s="168">
        <f>VLOOKUP(B54,'Emissions Factors'!$B$145:$F$152,2,FALSE)</f>
        <v>0.01</v>
      </c>
      <c r="T54" s="169" t="b">
        <f t="shared" si="1"/>
        <v>0</v>
      </c>
      <c r="U54" s="168">
        <f>IF(W54,VLOOKUP(B54,'Emissions Factors'!$B$145:$F$152,4,FALSE),0)</f>
        <v>0</v>
      </c>
      <c r="V54" s="168">
        <f>VLOOKUP(B54,'Emissions Factors'!$B$145:$F$152,5,FALSE)</f>
        <v>0.95</v>
      </c>
      <c r="W54" s="169" t="b">
        <f t="shared" si="2"/>
        <v>0</v>
      </c>
      <c r="X54" s="170">
        <f t="shared" si="3"/>
        <v>0</v>
      </c>
      <c r="Y54" s="171">
        <f>X54*'Emissions Factors'!$C$24</f>
        <v>0</v>
      </c>
      <c r="Z54" s="144">
        <f>IF(ISERROR(VLOOKUP(J54,'Emissions Factors'!$B$80:$C$132,2,0))=TRUE,0,VLOOKUP(J54,'Emissions Factors'!$B$80:$C$132,2,0))</f>
        <v>0</v>
      </c>
      <c r="AA54" s="162">
        <f t="shared" si="6"/>
        <v>0</v>
      </c>
      <c r="AB54" s="282"/>
      <c r="AC54" s="418">
        <f t="shared" si="5"/>
        <v>0</v>
      </c>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8"/>
      <c r="CP54" s="198"/>
      <c r="CQ54" s="198"/>
      <c r="CR54" s="198"/>
      <c r="CS54" s="198"/>
      <c r="CT54" s="198"/>
      <c r="CU54" s="198"/>
      <c r="CV54" s="198"/>
      <c r="CW54" s="198"/>
      <c r="CX54" s="198"/>
      <c r="CY54" s="198"/>
      <c r="CZ54" s="198"/>
      <c r="DA54" s="198"/>
      <c r="DB54" s="198"/>
      <c r="DC54" s="198"/>
      <c r="DD54" s="198"/>
      <c r="DE54" s="198"/>
      <c r="DF54" s="198"/>
      <c r="DG54" s="198"/>
      <c r="DH54" s="198"/>
      <c r="DI54" s="198"/>
      <c r="DJ54" s="198"/>
      <c r="DK54" s="198"/>
      <c r="DL54" s="198"/>
      <c r="DM54" s="198"/>
      <c r="DN54" s="198"/>
      <c r="DO54" s="198"/>
      <c r="DP54" s="198"/>
      <c r="DQ54" s="198"/>
      <c r="DR54" s="198"/>
      <c r="DS54" s="198"/>
      <c r="DT54" s="198"/>
      <c r="DU54" s="198"/>
      <c r="DV54" s="198"/>
      <c r="DW54" s="198"/>
      <c r="DX54" s="198"/>
      <c r="DY54" s="198"/>
      <c r="DZ54" s="198"/>
      <c r="EA54" s="198"/>
    </row>
    <row r="55" spans="1:131" s="199" customFormat="1" ht="13" x14ac:dyDescent="0.15">
      <c r="A55" s="198"/>
      <c r="B55" s="529" t="s">
        <v>23</v>
      </c>
      <c r="C55" s="530"/>
      <c r="D55" s="523"/>
      <c r="E55" s="525"/>
      <c r="F55" s="524"/>
      <c r="G55" s="526"/>
      <c r="H55" s="527"/>
      <c r="I55" s="528"/>
      <c r="J55" s="523"/>
      <c r="K55" s="525"/>
      <c r="L55" s="523" t="s">
        <v>310</v>
      </c>
      <c r="M55" s="524"/>
      <c r="N55" s="521">
        <v>12</v>
      </c>
      <c r="O55" s="522"/>
      <c r="P55" s="394" t="s">
        <v>310</v>
      </c>
      <c r="Q55" s="169">
        <f>IF(T55,VLOOKUP(B55,'Emissions Factors'!$B$145:$F$152,3,FALSE),0)</f>
        <v>0</v>
      </c>
      <c r="R55" s="169">
        <f t="shared" si="0"/>
        <v>1</v>
      </c>
      <c r="S55" s="168">
        <f>VLOOKUP(B55,'Emissions Factors'!$B$145:$F$152,2,FALSE)</f>
        <v>0.01</v>
      </c>
      <c r="T55" s="169" t="b">
        <f t="shared" si="1"/>
        <v>0</v>
      </c>
      <c r="U55" s="168">
        <f>IF(W55,VLOOKUP(B55,'Emissions Factors'!$B$145:$F$152,4,FALSE),0)</f>
        <v>0</v>
      </c>
      <c r="V55" s="168">
        <f>VLOOKUP(B55,'Emissions Factors'!$B$145:$F$152,5,FALSE)</f>
        <v>0.95</v>
      </c>
      <c r="W55" s="169" t="b">
        <f t="shared" si="2"/>
        <v>0</v>
      </c>
      <c r="X55" s="170">
        <f t="shared" si="3"/>
        <v>0</v>
      </c>
      <c r="Y55" s="171">
        <f>X55*'Emissions Factors'!$C$24</f>
        <v>0</v>
      </c>
      <c r="Z55" s="144">
        <f>IF(ISERROR(VLOOKUP(J55,'Emissions Factors'!$B$80:$C$132,2,0))=TRUE,0,VLOOKUP(J55,'Emissions Factors'!$B$80:$C$132,2,0))</f>
        <v>0</v>
      </c>
      <c r="AA55" s="162">
        <f t="shared" si="6"/>
        <v>0</v>
      </c>
      <c r="AB55" s="282"/>
      <c r="AC55" s="418">
        <f t="shared" si="5"/>
        <v>0</v>
      </c>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c r="CF55" s="198"/>
      <c r="CG55" s="198"/>
      <c r="CH55" s="198"/>
      <c r="CI55" s="198"/>
      <c r="CJ55" s="198"/>
      <c r="CK55" s="198"/>
      <c r="CL55" s="198"/>
      <c r="CM55" s="198"/>
      <c r="CN55" s="198"/>
      <c r="CO55" s="198"/>
      <c r="CP55" s="198"/>
      <c r="CQ55" s="198"/>
      <c r="CR55" s="198"/>
      <c r="CS55" s="198"/>
      <c r="CT55" s="198"/>
      <c r="CU55" s="198"/>
      <c r="CV55" s="198"/>
      <c r="CW55" s="198"/>
      <c r="CX55" s="198"/>
      <c r="CY55" s="198"/>
      <c r="CZ55" s="198"/>
      <c r="DA55" s="198"/>
      <c r="DB55" s="198"/>
      <c r="DC55" s="198"/>
      <c r="DD55" s="198"/>
      <c r="DE55" s="198"/>
      <c r="DF55" s="198"/>
      <c r="DG55" s="198"/>
      <c r="DH55" s="198"/>
      <c r="DI55" s="198"/>
      <c r="DJ55" s="198"/>
      <c r="DK55" s="198"/>
      <c r="DL55" s="198"/>
      <c r="DM55" s="198"/>
      <c r="DN55" s="198"/>
      <c r="DO55" s="198"/>
      <c r="DP55" s="198"/>
      <c r="DQ55" s="198"/>
      <c r="DR55" s="198"/>
      <c r="DS55" s="198"/>
      <c r="DT55" s="198"/>
      <c r="DU55" s="198"/>
      <c r="DV55" s="198"/>
      <c r="DW55" s="198"/>
      <c r="DX55" s="198"/>
      <c r="DY55" s="198"/>
      <c r="DZ55" s="198"/>
      <c r="EA55" s="198"/>
    </row>
    <row r="56" spans="1:131" s="199" customFormat="1" ht="13" x14ac:dyDescent="0.15">
      <c r="A56" s="198"/>
      <c r="B56" s="529" t="s">
        <v>23</v>
      </c>
      <c r="C56" s="530"/>
      <c r="D56" s="523"/>
      <c r="E56" s="525"/>
      <c r="F56" s="524"/>
      <c r="G56" s="526"/>
      <c r="H56" s="527"/>
      <c r="I56" s="528"/>
      <c r="J56" s="523"/>
      <c r="K56" s="525"/>
      <c r="L56" s="523" t="s">
        <v>310</v>
      </c>
      <c r="M56" s="524"/>
      <c r="N56" s="521">
        <v>12</v>
      </c>
      <c r="O56" s="522"/>
      <c r="P56" s="394" t="s">
        <v>310</v>
      </c>
      <c r="Q56" s="169">
        <f>IF(T56,VLOOKUP(B56,'Emissions Factors'!$B$145:$F$152,3,FALSE),0)</f>
        <v>0</v>
      </c>
      <c r="R56" s="169">
        <f t="shared" si="0"/>
        <v>1</v>
      </c>
      <c r="S56" s="168">
        <f>VLOOKUP(B56,'Emissions Factors'!$B$145:$F$152,2,FALSE)</f>
        <v>0.01</v>
      </c>
      <c r="T56" s="169" t="b">
        <f t="shared" si="1"/>
        <v>0</v>
      </c>
      <c r="U56" s="168">
        <f>IF(W56,VLOOKUP(B56,'Emissions Factors'!$B$145:$F$152,4,FALSE),0)</f>
        <v>0</v>
      </c>
      <c r="V56" s="168">
        <f>VLOOKUP(B56,'Emissions Factors'!$B$145:$F$152,5,FALSE)</f>
        <v>0.95</v>
      </c>
      <c r="W56" s="169" t="b">
        <f t="shared" si="2"/>
        <v>0</v>
      </c>
      <c r="X56" s="170">
        <f t="shared" si="3"/>
        <v>0</v>
      </c>
      <c r="Y56" s="171">
        <f>X56*'Emissions Factors'!$C$24</f>
        <v>0</v>
      </c>
      <c r="Z56" s="144">
        <f>IF(ISERROR(VLOOKUP(J56,'Emissions Factors'!$B$80:$C$132,2,0))=TRUE,0,VLOOKUP(J56,'Emissions Factors'!$B$80:$C$132,2,0))</f>
        <v>0</v>
      </c>
      <c r="AA56" s="162">
        <f t="shared" si="6"/>
        <v>0</v>
      </c>
      <c r="AB56" s="282"/>
      <c r="AC56" s="418">
        <f t="shared" si="5"/>
        <v>0</v>
      </c>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8"/>
      <c r="BR56" s="198"/>
      <c r="BS56" s="198"/>
      <c r="BT56" s="198"/>
      <c r="BU56" s="198"/>
      <c r="BV56" s="198"/>
      <c r="BW56" s="198"/>
      <c r="BX56" s="198"/>
      <c r="BY56" s="198"/>
      <c r="BZ56" s="198"/>
      <c r="CA56" s="198"/>
      <c r="CB56" s="198"/>
      <c r="CC56" s="198"/>
      <c r="CD56" s="198"/>
      <c r="CE56" s="198"/>
      <c r="CF56" s="198"/>
      <c r="CG56" s="198"/>
      <c r="CH56" s="198"/>
      <c r="CI56" s="198"/>
      <c r="CJ56" s="198"/>
      <c r="CK56" s="198"/>
      <c r="CL56" s="198"/>
      <c r="CM56" s="198"/>
      <c r="CN56" s="198"/>
      <c r="CO56" s="198"/>
      <c r="CP56" s="198"/>
      <c r="CQ56" s="198"/>
      <c r="CR56" s="198"/>
      <c r="CS56" s="198"/>
      <c r="CT56" s="198"/>
      <c r="CU56" s="198"/>
      <c r="CV56" s="198"/>
      <c r="CW56" s="198"/>
      <c r="CX56" s="198"/>
      <c r="CY56" s="198"/>
      <c r="CZ56" s="198"/>
      <c r="DA56" s="198"/>
      <c r="DB56" s="198"/>
      <c r="DC56" s="198"/>
      <c r="DD56" s="198"/>
      <c r="DE56" s="198"/>
      <c r="DF56" s="198"/>
      <c r="DG56" s="198"/>
      <c r="DH56" s="198"/>
      <c r="DI56" s="198"/>
      <c r="DJ56" s="198"/>
      <c r="DK56" s="198"/>
      <c r="DL56" s="198"/>
      <c r="DM56" s="198"/>
      <c r="DN56" s="198"/>
      <c r="DO56" s="198"/>
      <c r="DP56" s="198"/>
      <c r="DQ56" s="198"/>
      <c r="DR56" s="198"/>
      <c r="DS56" s="198"/>
      <c r="DT56" s="198"/>
      <c r="DU56" s="198"/>
      <c r="DV56" s="198"/>
      <c r="DW56" s="198"/>
      <c r="DX56" s="198"/>
      <c r="DY56" s="198"/>
      <c r="DZ56" s="198"/>
      <c r="EA56" s="198"/>
    </row>
    <row r="57" spans="1:131" s="199" customFormat="1" ht="13" x14ac:dyDescent="0.15">
      <c r="A57" s="198"/>
      <c r="B57" s="529" t="s">
        <v>116</v>
      </c>
      <c r="C57" s="530"/>
      <c r="D57" s="523"/>
      <c r="E57" s="525"/>
      <c r="F57" s="524"/>
      <c r="G57" s="526"/>
      <c r="H57" s="527"/>
      <c r="I57" s="528"/>
      <c r="J57" s="523"/>
      <c r="K57" s="525"/>
      <c r="L57" s="523" t="s">
        <v>310</v>
      </c>
      <c r="M57" s="524"/>
      <c r="N57" s="521">
        <v>12</v>
      </c>
      <c r="O57" s="522"/>
      <c r="P57" s="394" t="s">
        <v>310</v>
      </c>
      <c r="Q57" s="169">
        <f>IF(T57,VLOOKUP(B57,'Emissions Factors'!$B$145:$F$152,3,FALSE),0)</f>
        <v>0</v>
      </c>
      <c r="R57" s="169">
        <f t="shared" si="0"/>
        <v>1</v>
      </c>
      <c r="S57" s="168">
        <f>VLOOKUP(B57,'Emissions Factors'!$B$145:$F$152,2,FALSE)</f>
        <v>0.01</v>
      </c>
      <c r="T57" s="169" t="b">
        <f t="shared" si="1"/>
        <v>0</v>
      </c>
      <c r="U57" s="168">
        <f>IF(W57,VLOOKUP(B57,'Emissions Factors'!$B$145:$F$152,4,FALSE),0)</f>
        <v>0</v>
      </c>
      <c r="V57" s="168">
        <f>VLOOKUP(B57,'Emissions Factors'!$B$145:$F$152,5,FALSE)</f>
        <v>0.8</v>
      </c>
      <c r="W57" s="169" t="b">
        <f t="shared" si="2"/>
        <v>0</v>
      </c>
      <c r="X57" s="170">
        <f t="shared" si="3"/>
        <v>0</v>
      </c>
      <c r="Y57" s="171">
        <f>X57*'Emissions Factors'!$C$24</f>
        <v>0</v>
      </c>
      <c r="Z57" s="144">
        <f>IF(ISERROR(VLOOKUP(J57,'Emissions Factors'!$B$80:$C$132,2,0))=TRUE,0,VLOOKUP(J57,'Emissions Factors'!$B$80:$C$132,2,0))</f>
        <v>0</v>
      </c>
      <c r="AA57" s="162">
        <f t="shared" si="6"/>
        <v>0</v>
      </c>
      <c r="AB57" s="282"/>
      <c r="AC57" s="418">
        <f t="shared" si="5"/>
        <v>0</v>
      </c>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c r="BU57" s="198"/>
      <c r="BV57" s="198"/>
      <c r="BW57" s="198"/>
      <c r="BX57" s="198"/>
      <c r="BY57" s="198"/>
      <c r="BZ57" s="198"/>
      <c r="CA57" s="198"/>
      <c r="CB57" s="198"/>
      <c r="CC57" s="198"/>
      <c r="CD57" s="198"/>
      <c r="CE57" s="198"/>
      <c r="CF57" s="198"/>
      <c r="CG57" s="198"/>
      <c r="CH57" s="198"/>
      <c r="CI57" s="198"/>
      <c r="CJ57" s="198"/>
      <c r="CK57" s="198"/>
      <c r="CL57" s="198"/>
      <c r="CM57" s="198"/>
      <c r="CN57" s="198"/>
      <c r="CO57" s="198"/>
      <c r="CP57" s="198"/>
      <c r="CQ57" s="198"/>
      <c r="CR57" s="198"/>
      <c r="CS57" s="198"/>
      <c r="CT57" s="198"/>
      <c r="CU57" s="198"/>
      <c r="CV57" s="198"/>
      <c r="CW57" s="198"/>
      <c r="CX57" s="198"/>
      <c r="CY57" s="198"/>
      <c r="CZ57" s="198"/>
      <c r="DA57" s="198"/>
      <c r="DB57" s="198"/>
      <c r="DC57" s="198"/>
      <c r="DD57" s="198"/>
      <c r="DE57" s="198"/>
      <c r="DF57" s="198"/>
      <c r="DG57" s="198"/>
      <c r="DH57" s="198"/>
      <c r="DI57" s="198"/>
      <c r="DJ57" s="198"/>
      <c r="DK57" s="198"/>
      <c r="DL57" s="198"/>
      <c r="DM57" s="198"/>
      <c r="DN57" s="198"/>
      <c r="DO57" s="198"/>
      <c r="DP57" s="198"/>
      <c r="DQ57" s="198"/>
      <c r="DR57" s="198"/>
      <c r="DS57" s="198"/>
      <c r="DT57" s="198"/>
      <c r="DU57" s="198"/>
      <c r="DV57" s="198"/>
      <c r="DW57" s="198"/>
      <c r="DX57" s="198"/>
      <c r="DY57" s="198"/>
      <c r="DZ57" s="198"/>
      <c r="EA57" s="198"/>
    </row>
    <row r="58" spans="1:131" s="199" customFormat="1" ht="13" x14ac:dyDescent="0.15">
      <c r="A58" s="198"/>
      <c r="B58" s="529" t="s">
        <v>116</v>
      </c>
      <c r="C58" s="530"/>
      <c r="D58" s="523"/>
      <c r="E58" s="525"/>
      <c r="F58" s="524"/>
      <c r="G58" s="526"/>
      <c r="H58" s="527"/>
      <c r="I58" s="528"/>
      <c r="J58" s="523"/>
      <c r="K58" s="525"/>
      <c r="L58" s="523" t="s">
        <v>310</v>
      </c>
      <c r="M58" s="524"/>
      <c r="N58" s="521">
        <v>12</v>
      </c>
      <c r="O58" s="522"/>
      <c r="P58" s="394" t="s">
        <v>310</v>
      </c>
      <c r="Q58" s="169">
        <f>IF(T58,VLOOKUP(B58,'Emissions Factors'!$B$145:$F$152,3,FALSE),0)</f>
        <v>0</v>
      </c>
      <c r="R58" s="169">
        <f t="shared" si="0"/>
        <v>1</v>
      </c>
      <c r="S58" s="168">
        <f>VLOOKUP(B58,'Emissions Factors'!$B$145:$F$152,2,FALSE)</f>
        <v>0.01</v>
      </c>
      <c r="T58" s="169" t="b">
        <f t="shared" si="1"/>
        <v>0</v>
      </c>
      <c r="U58" s="168">
        <f>IF(W58,VLOOKUP(B58,'Emissions Factors'!$B$145:$F$152,4,FALSE),0)</f>
        <v>0</v>
      </c>
      <c r="V58" s="168">
        <f>VLOOKUP(B58,'Emissions Factors'!$B$145:$F$152,5,FALSE)</f>
        <v>0.8</v>
      </c>
      <c r="W58" s="169" t="b">
        <f t="shared" si="2"/>
        <v>0</v>
      </c>
      <c r="X58" s="170">
        <f t="shared" si="3"/>
        <v>0</v>
      </c>
      <c r="Y58" s="171">
        <f>X58*'Emissions Factors'!$C$24</f>
        <v>0</v>
      </c>
      <c r="Z58" s="144">
        <f>IF(ISERROR(VLOOKUP(J58,'Emissions Factors'!$B$80:$C$132,2,0))=TRUE,0,VLOOKUP(J58,'Emissions Factors'!$B$80:$C$132,2,0))</f>
        <v>0</v>
      </c>
      <c r="AA58" s="162">
        <f t="shared" si="6"/>
        <v>0</v>
      </c>
      <c r="AB58" s="282"/>
      <c r="AC58" s="418">
        <f t="shared" si="5"/>
        <v>0</v>
      </c>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8"/>
      <c r="CM58" s="198"/>
      <c r="CN58" s="198"/>
      <c r="CO58" s="198"/>
      <c r="CP58" s="198"/>
      <c r="CQ58" s="198"/>
      <c r="CR58" s="198"/>
      <c r="CS58" s="198"/>
      <c r="CT58" s="198"/>
      <c r="CU58" s="198"/>
      <c r="CV58" s="198"/>
      <c r="CW58" s="198"/>
      <c r="CX58" s="198"/>
      <c r="CY58" s="198"/>
      <c r="CZ58" s="198"/>
      <c r="DA58" s="198"/>
      <c r="DB58" s="198"/>
      <c r="DC58" s="198"/>
      <c r="DD58" s="198"/>
      <c r="DE58" s="198"/>
      <c r="DF58" s="198"/>
      <c r="DG58" s="198"/>
      <c r="DH58" s="198"/>
      <c r="DI58" s="198"/>
      <c r="DJ58" s="198"/>
      <c r="DK58" s="198"/>
      <c r="DL58" s="198"/>
      <c r="DM58" s="198"/>
      <c r="DN58" s="198"/>
      <c r="DO58" s="198"/>
      <c r="DP58" s="198"/>
      <c r="DQ58" s="198"/>
      <c r="DR58" s="198"/>
      <c r="DS58" s="198"/>
      <c r="DT58" s="198"/>
      <c r="DU58" s="198"/>
      <c r="DV58" s="198"/>
      <c r="DW58" s="198"/>
      <c r="DX58" s="198"/>
      <c r="DY58" s="198"/>
      <c r="DZ58" s="198"/>
      <c r="EA58" s="198"/>
    </row>
    <row r="59" spans="1:131" s="199" customFormat="1" ht="13" x14ac:dyDescent="0.15">
      <c r="A59" s="198"/>
      <c r="B59" s="529" t="s">
        <v>116</v>
      </c>
      <c r="C59" s="530"/>
      <c r="D59" s="523"/>
      <c r="E59" s="525"/>
      <c r="F59" s="524"/>
      <c r="G59" s="526"/>
      <c r="H59" s="527"/>
      <c r="I59" s="528"/>
      <c r="J59" s="523"/>
      <c r="K59" s="525"/>
      <c r="L59" s="523" t="s">
        <v>310</v>
      </c>
      <c r="M59" s="524"/>
      <c r="N59" s="521">
        <v>12</v>
      </c>
      <c r="O59" s="522"/>
      <c r="P59" s="394" t="s">
        <v>310</v>
      </c>
      <c r="Q59" s="169">
        <f>IF(T59,VLOOKUP(B59,'Emissions Factors'!$B$145:$F$152,3,FALSE),0)</f>
        <v>0</v>
      </c>
      <c r="R59" s="169">
        <f t="shared" si="0"/>
        <v>1</v>
      </c>
      <c r="S59" s="168">
        <f>VLOOKUP(B59,'Emissions Factors'!$B$145:$F$152,2,FALSE)</f>
        <v>0.01</v>
      </c>
      <c r="T59" s="169" t="b">
        <f t="shared" si="1"/>
        <v>0</v>
      </c>
      <c r="U59" s="168">
        <f>IF(W59,VLOOKUP(B59,'Emissions Factors'!$B$145:$F$152,4,FALSE),0)</f>
        <v>0</v>
      </c>
      <c r="V59" s="168">
        <f>VLOOKUP(B59,'Emissions Factors'!$B$145:$F$152,5,FALSE)</f>
        <v>0.8</v>
      </c>
      <c r="W59" s="169" t="b">
        <f t="shared" si="2"/>
        <v>0</v>
      </c>
      <c r="X59" s="170">
        <f t="shared" si="3"/>
        <v>0</v>
      </c>
      <c r="Y59" s="171">
        <f>X59*'Emissions Factors'!$C$24</f>
        <v>0</v>
      </c>
      <c r="Z59" s="144">
        <f>IF(ISERROR(VLOOKUP(J59,'Emissions Factors'!$B$80:$C$132,2,0))=TRUE,0,VLOOKUP(J59,'Emissions Factors'!$B$80:$C$132,2,0))</f>
        <v>0</v>
      </c>
      <c r="AA59" s="162">
        <f t="shared" si="6"/>
        <v>0</v>
      </c>
      <c r="AB59" s="282"/>
      <c r="AC59" s="418">
        <f t="shared" si="5"/>
        <v>0</v>
      </c>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198"/>
      <c r="CQ59" s="198"/>
      <c r="CR59" s="198"/>
      <c r="CS59" s="198"/>
      <c r="CT59" s="198"/>
      <c r="CU59" s="198"/>
      <c r="CV59" s="198"/>
      <c r="CW59" s="198"/>
      <c r="CX59" s="198"/>
      <c r="CY59" s="198"/>
      <c r="CZ59" s="198"/>
      <c r="DA59" s="198"/>
      <c r="DB59" s="198"/>
      <c r="DC59" s="198"/>
      <c r="DD59" s="198"/>
      <c r="DE59" s="198"/>
      <c r="DF59" s="198"/>
      <c r="DG59" s="198"/>
      <c r="DH59" s="198"/>
      <c r="DI59" s="198"/>
      <c r="DJ59" s="198"/>
      <c r="DK59" s="198"/>
      <c r="DL59" s="198"/>
      <c r="DM59" s="198"/>
      <c r="DN59" s="198"/>
      <c r="DO59" s="198"/>
      <c r="DP59" s="198"/>
      <c r="DQ59" s="198"/>
      <c r="DR59" s="198"/>
      <c r="DS59" s="198"/>
      <c r="DT59" s="198"/>
      <c r="DU59" s="198"/>
      <c r="DV59" s="198"/>
      <c r="DW59" s="198"/>
      <c r="DX59" s="198"/>
      <c r="DY59" s="198"/>
      <c r="DZ59" s="198"/>
      <c r="EA59" s="198"/>
    </row>
    <row r="60" spans="1:131" s="199" customFormat="1" ht="13" x14ac:dyDescent="0.15">
      <c r="A60" s="198"/>
      <c r="B60" s="529" t="s">
        <v>116</v>
      </c>
      <c r="C60" s="530"/>
      <c r="D60" s="523"/>
      <c r="E60" s="525"/>
      <c r="F60" s="524"/>
      <c r="G60" s="526"/>
      <c r="H60" s="527"/>
      <c r="I60" s="528"/>
      <c r="J60" s="523"/>
      <c r="K60" s="525"/>
      <c r="L60" s="523" t="s">
        <v>310</v>
      </c>
      <c r="M60" s="524"/>
      <c r="N60" s="521">
        <v>12</v>
      </c>
      <c r="O60" s="522"/>
      <c r="P60" s="394" t="s">
        <v>310</v>
      </c>
      <c r="Q60" s="169">
        <f>IF(T60,VLOOKUP(B60,'Emissions Factors'!$B$145:$F$152,3,FALSE),0)</f>
        <v>0</v>
      </c>
      <c r="R60" s="169">
        <f t="shared" si="0"/>
        <v>1</v>
      </c>
      <c r="S60" s="168">
        <f>VLOOKUP(B60,'Emissions Factors'!$B$145:$F$152,2,FALSE)</f>
        <v>0.01</v>
      </c>
      <c r="T60" s="169" t="b">
        <f t="shared" si="1"/>
        <v>0</v>
      </c>
      <c r="U60" s="168">
        <f>IF(W60,VLOOKUP(B60,'Emissions Factors'!$B$145:$F$152,4,FALSE),0)</f>
        <v>0</v>
      </c>
      <c r="V60" s="168">
        <f>VLOOKUP(B60,'Emissions Factors'!$B$145:$F$152,5,FALSE)</f>
        <v>0.8</v>
      </c>
      <c r="W60" s="169" t="b">
        <f t="shared" si="2"/>
        <v>0</v>
      </c>
      <c r="X60" s="170">
        <f t="shared" si="3"/>
        <v>0</v>
      </c>
      <c r="Y60" s="171">
        <f>X60*'Emissions Factors'!$C$24</f>
        <v>0</v>
      </c>
      <c r="Z60" s="144">
        <f>IF(ISERROR(VLOOKUP(J60,'Emissions Factors'!$B$80:$C$132,2,0))=TRUE,0,VLOOKUP(J60,'Emissions Factors'!$B$80:$C$132,2,0))</f>
        <v>0</v>
      </c>
      <c r="AA60" s="162">
        <f t="shared" si="6"/>
        <v>0</v>
      </c>
      <c r="AB60" s="282"/>
      <c r="AC60" s="418">
        <f t="shared" si="5"/>
        <v>0</v>
      </c>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8"/>
      <c r="CP60" s="198"/>
      <c r="CQ60" s="198"/>
      <c r="CR60" s="198"/>
      <c r="CS60" s="198"/>
      <c r="CT60" s="198"/>
      <c r="CU60" s="198"/>
      <c r="CV60" s="198"/>
      <c r="CW60" s="198"/>
      <c r="CX60" s="198"/>
      <c r="CY60" s="198"/>
      <c r="CZ60" s="198"/>
      <c r="DA60" s="198"/>
      <c r="DB60" s="198"/>
      <c r="DC60" s="198"/>
      <c r="DD60" s="198"/>
      <c r="DE60" s="198"/>
      <c r="DF60" s="198"/>
      <c r="DG60" s="198"/>
      <c r="DH60" s="198"/>
      <c r="DI60" s="198"/>
      <c r="DJ60" s="198"/>
      <c r="DK60" s="198"/>
      <c r="DL60" s="198"/>
      <c r="DM60" s="198"/>
      <c r="DN60" s="198"/>
      <c r="DO60" s="198"/>
      <c r="DP60" s="198"/>
      <c r="DQ60" s="198"/>
      <c r="DR60" s="198"/>
      <c r="DS60" s="198"/>
      <c r="DT60" s="198"/>
      <c r="DU60" s="198"/>
      <c r="DV60" s="198"/>
      <c r="DW60" s="198"/>
      <c r="DX60" s="198"/>
      <c r="DY60" s="198"/>
      <c r="DZ60" s="198"/>
      <c r="EA60" s="198"/>
    </row>
    <row r="61" spans="1:131" s="199" customFormat="1" ht="13" x14ac:dyDescent="0.15">
      <c r="A61" s="198"/>
      <c r="B61" s="529" t="s">
        <v>116</v>
      </c>
      <c r="C61" s="530"/>
      <c r="D61" s="523"/>
      <c r="E61" s="525"/>
      <c r="F61" s="524"/>
      <c r="G61" s="526"/>
      <c r="H61" s="527"/>
      <c r="I61" s="528"/>
      <c r="J61" s="523"/>
      <c r="K61" s="525"/>
      <c r="L61" s="523" t="s">
        <v>310</v>
      </c>
      <c r="M61" s="524"/>
      <c r="N61" s="521">
        <v>12</v>
      </c>
      <c r="O61" s="522"/>
      <c r="P61" s="394" t="s">
        <v>310</v>
      </c>
      <c r="Q61" s="169">
        <f>IF(T61,VLOOKUP(B61,'Emissions Factors'!$B$145:$F$152,3,FALSE),0)</f>
        <v>0</v>
      </c>
      <c r="R61" s="169">
        <f t="shared" si="0"/>
        <v>1</v>
      </c>
      <c r="S61" s="168">
        <f>VLOOKUP(B61,'Emissions Factors'!$B$145:$F$152,2,FALSE)</f>
        <v>0.01</v>
      </c>
      <c r="T61" s="169" t="b">
        <f t="shared" si="1"/>
        <v>0</v>
      </c>
      <c r="U61" s="168">
        <f>IF(W61,VLOOKUP(B61,'Emissions Factors'!$B$145:$F$152,4,FALSE),0)</f>
        <v>0</v>
      </c>
      <c r="V61" s="168">
        <f>VLOOKUP(B61,'Emissions Factors'!$B$145:$F$152,5,FALSE)</f>
        <v>0.8</v>
      </c>
      <c r="W61" s="169" t="b">
        <f t="shared" si="2"/>
        <v>0</v>
      </c>
      <c r="X61" s="170">
        <f t="shared" si="3"/>
        <v>0</v>
      </c>
      <c r="Y61" s="171">
        <f>X61*'Emissions Factors'!$C$24</f>
        <v>0</v>
      </c>
      <c r="Z61" s="144">
        <f>IF(ISERROR(VLOOKUP(J61,'Emissions Factors'!$B$80:$C$132,2,0))=TRUE,0,VLOOKUP(J61,'Emissions Factors'!$B$80:$C$132,2,0))</f>
        <v>0</v>
      </c>
      <c r="AA61" s="162">
        <f t="shared" si="6"/>
        <v>0</v>
      </c>
      <c r="AB61" s="282"/>
      <c r="AC61" s="418">
        <f t="shared" si="5"/>
        <v>0</v>
      </c>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8"/>
      <c r="CM61" s="198"/>
      <c r="CN61" s="198"/>
      <c r="CO61" s="198"/>
      <c r="CP61" s="198"/>
      <c r="CQ61" s="198"/>
      <c r="CR61" s="198"/>
      <c r="CS61" s="198"/>
      <c r="CT61" s="198"/>
      <c r="CU61" s="198"/>
      <c r="CV61" s="198"/>
      <c r="CW61" s="198"/>
      <c r="CX61" s="198"/>
      <c r="CY61" s="198"/>
      <c r="CZ61" s="198"/>
      <c r="DA61" s="198"/>
      <c r="DB61" s="198"/>
      <c r="DC61" s="198"/>
      <c r="DD61" s="198"/>
      <c r="DE61" s="198"/>
      <c r="DF61" s="198"/>
      <c r="DG61" s="198"/>
      <c r="DH61" s="198"/>
      <c r="DI61" s="198"/>
      <c r="DJ61" s="198"/>
      <c r="DK61" s="198"/>
      <c r="DL61" s="198"/>
      <c r="DM61" s="198"/>
      <c r="DN61" s="198"/>
      <c r="DO61" s="198"/>
      <c r="DP61" s="198"/>
      <c r="DQ61" s="198"/>
      <c r="DR61" s="198"/>
      <c r="DS61" s="198"/>
      <c r="DT61" s="198"/>
      <c r="DU61" s="198"/>
      <c r="DV61" s="198"/>
      <c r="DW61" s="198"/>
      <c r="DX61" s="198"/>
      <c r="DY61" s="198"/>
      <c r="DZ61" s="198"/>
      <c r="EA61" s="198"/>
    </row>
    <row r="62" spans="1:131" s="199" customFormat="1" ht="13" x14ac:dyDescent="0.15">
      <c r="A62" s="198"/>
      <c r="B62" s="529" t="s">
        <v>113</v>
      </c>
      <c r="C62" s="530"/>
      <c r="D62" s="523"/>
      <c r="E62" s="525"/>
      <c r="F62" s="524"/>
      <c r="G62" s="526"/>
      <c r="H62" s="527"/>
      <c r="I62" s="528"/>
      <c r="J62" s="523"/>
      <c r="K62" s="525"/>
      <c r="L62" s="523" t="s">
        <v>310</v>
      </c>
      <c r="M62" s="524"/>
      <c r="N62" s="521">
        <v>12</v>
      </c>
      <c r="O62" s="522"/>
      <c r="P62" s="394" t="s">
        <v>310</v>
      </c>
      <c r="Q62" s="169">
        <f>IF(T62,VLOOKUP(B62,'Emissions Factors'!$B$145:$F$152,3,FALSE),0)</f>
        <v>0</v>
      </c>
      <c r="R62" s="169">
        <f t="shared" si="0"/>
        <v>1</v>
      </c>
      <c r="S62" s="168">
        <f>VLOOKUP(B62,'Emissions Factors'!$B$145:$F$152,2,FALSE)</f>
        <v>5.0000000000000001E-3</v>
      </c>
      <c r="T62" s="169" t="b">
        <f t="shared" si="1"/>
        <v>0</v>
      </c>
      <c r="U62" s="168">
        <f>IF(W62,VLOOKUP(B62,'Emissions Factors'!$B$145:$F$152,4,FALSE),0)</f>
        <v>0</v>
      </c>
      <c r="V62" s="168">
        <f>VLOOKUP(B62,'Emissions Factors'!$B$145:$F$152,5,FALSE)</f>
        <v>0.5</v>
      </c>
      <c r="W62" s="169" t="b">
        <f t="shared" si="2"/>
        <v>0</v>
      </c>
      <c r="X62" s="170">
        <f t="shared" si="3"/>
        <v>0</v>
      </c>
      <c r="Y62" s="171">
        <f>X62*'Emissions Factors'!$C$24</f>
        <v>0</v>
      </c>
      <c r="Z62" s="144">
        <f>IF(ISERROR(VLOOKUP(J62,'Emissions Factors'!$B$80:$C$132,2,0))=TRUE,0,VLOOKUP(J62,'Emissions Factors'!$B$80:$C$132,2,0))</f>
        <v>0</v>
      </c>
      <c r="AA62" s="162">
        <f t="shared" si="6"/>
        <v>0</v>
      </c>
      <c r="AB62" s="282"/>
      <c r="AC62" s="418">
        <f t="shared" si="5"/>
        <v>0</v>
      </c>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8"/>
      <c r="BR62" s="198"/>
      <c r="BS62" s="198"/>
      <c r="BT62" s="198"/>
      <c r="BU62" s="198"/>
      <c r="BV62" s="198"/>
      <c r="BW62" s="198"/>
      <c r="BX62" s="198"/>
      <c r="BY62" s="198"/>
      <c r="BZ62" s="198"/>
      <c r="CA62" s="198"/>
      <c r="CB62" s="198"/>
      <c r="CC62" s="198"/>
      <c r="CD62" s="198"/>
      <c r="CE62" s="198"/>
      <c r="CF62" s="198"/>
      <c r="CG62" s="198"/>
      <c r="CH62" s="198"/>
      <c r="CI62" s="198"/>
      <c r="CJ62" s="198"/>
      <c r="CK62" s="198"/>
      <c r="CL62" s="198"/>
      <c r="CM62" s="198"/>
      <c r="CN62" s="198"/>
      <c r="CO62" s="198"/>
      <c r="CP62" s="198"/>
      <c r="CQ62" s="198"/>
      <c r="CR62" s="198"/>
      <c r="CS62" s="198"/>
      <c r="CT62" s="198"/>
      <c r="CU62" s="198"/>
      <c r="CV62" s="198"/>
      <c r="CW62" s="198"/>
      <c r="CX62" s="198"/>
      <c r="CY62" s="198"/>
      <c r="CZ62" s="198"/>
      <c r="DA62" s="198"/>
      <c r="DB62" s="198"/>
      <c r="DC62" s="198"/>
      <c r="DD62" s="198"/>
      <c r="DE62" s="198"/>
      <c r="DF62" s="198"/>
      <c r="DG62" s="198"/>
      <c r="DH62" s="198"/>
      <c r="DI62" s="198"/>
      <c r="DJ62" s="198"/>
      <c r="DK62" s="198"/>
      <c r="DL62" s="198"/>
      <c r="DM62" s="198"/>
      <c r="DN62" s="198"/>
      <c r="DO62" s="198"/>
      <c r="DP62" s="198"/>
      <c r="DQ62" s="198"/>
      <c r="DR62" s="198"/>
      <c r="DS62" s="198"/>
      <c r="DT62" s="198"/>
      <c r="DU62" s="198"/>
      <c r="DV62" s="198"/>
      <c r="DW62" s="198"/>
      <c r="DX62" s="198"/>
      <c r="DY62" s="198"/>
      <c r="DZ62" s="198"/>
      <c r="EA62" s="198"/>
    </row>
    <row r="63" spans="1:131" s="199" customFormat="1" ht="13" x14ac:dyDescent="0.15">
      <c r="A63" s="198"/>
      <c r="B63" s="529" t="s">
        <v>113</v>
      </c>
      <c r="C63" s="530"/>
      <c r="D63" s="523"/>
      <c r="E63" s="525"/>
      <c r="F63" s="524"/>
      <c r="G63" s="526"/>
      <c r="H63" s="527"/>
      <c r="I63" s="528"/>
      <c r="J63" s="523"/>
      <c r="K63" s="525"/>
      <c r="L63" s="523" t="s">
        <v>310</v>
      </c>
      <c r="M63" s="524"/>
      <c r="N63" s="521">
        <v>12</v>
      </c>
      <c r="O63" s="522"/>
      <c r="P63" s="394" t="s">
        <v>310</v>
      </c>
      <c r="Q63" s="169">
        <f>IF(T63,VLOOKUP(B63,'Emissions Factors'!$B$145:$F$152,3,FALSE),0)</f>
        <v>0</v>
      </c>
      <c r="R63" s="169">
        <f t="shared" si="0"/>
        <v>1</v>
      </c>
      <c r="S63" s="168">
        <f>VLOOKUP(B63,'Emissions Factors'!$B$145:$F$152,2,FALSE)</f>
        <v>5.0000000000000001E-3</v>
      </c>
      <c r="T63" s="169" t="b">
        <f t="shared" si="1"/>
        <v>0</v>
      </c>
      <c r="U63" s="168">
        <f>IF(W63,VLOOKUP(B63,'Emissions Factors'!$B$145:$F$152,4,FALSE),0)</f>
        <v>0</v>
      </c>
      <c r="V63" s="168">
        <f>VLOOKUP(B63,'Emissions Factors'!$B$145:$F$152,5,FALSE)</f>
        <v>0.5</v>
      </c>
      <c r="W63" s="169" t="b">
        <f t="shared" si="2"/>
        <v>0</v>
      </c>
      <c r="X63" s="170">
        <f t="shared" si="3"/>
        <v>0</v>
      </c>
      <c r="Y63" s="171">
        <f>X63*'Emissions Factors'!$C$24</f>
        <v>0</v>
      </c>
      <c r="Z63" s="144">
        <f>IF(ISERROR(VLOOKUP(J63,'Emissions Factors'!$B$80:$C$132,2,0))=TRUE,0,VLOOKUP(J63,'Emissions Factors'!$B$80:$C$132,2,0))</f>
        <v>0</v>
      </c>
      <c r="AA63" s="162">
        <f t="shared" si="6"/>
        <v>0</v>
      </c>
      <c r="AB63" s="282"/>
      <c r="AC63" s="418">
        <f t="shared" si="5"/>
        <v>0</v>
      </c>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8"/>
      <c r="BR63" s="198"/>
      <c r="BS63" s="198"/>
      <c r="BT63" s="198"/>
      <c r="BU63" s="198"/>
      <c r="BV63" s="198"/>
      <c r="BW63" s="198"/>
      <c r="BX63" s="198"/>
      <c r="BY63" s="198"/>
      <c r="BZ63" s="198"/>
      <c r="CA63" s="198"/>
      <c r="CB63" s="198"/>
      <c r="CC63" s="198"/>
      <c r="CD63" s="198"/>
      <c r="CE63" s="198"/>
      <c r="CF63" s="198"/>
      <c r="CG63" s="198"/>
      <c r="CH63" s="198"/>
      <c r="CI63" s="198"/>
      <c r="CJ63" s="198"/>
      <c r="CK63" s="198"/>
      <c r="CL63" s="198"/>
      <c r="CM63" s="198"/>
      <c r="CN63" s="198"/>
      <c r="CO63" s="198"/>
      <c r="CP63" s="198"/>
      <c r="CQ63" s="198"/>
      <c r="CR63" s="198"/>
      <c r="CS63" s="198"/>
      <c r="CT63" s="198"/>
      <c r="CU63" s="198"/>
      <c r="CV63" s="198"/>
      <c r="CW63" s="198"/>
      <c r="CX63" s="198"/>
      <c r="CY63" s="198"/>
      <c r="CZ63" s="198"/>
      <c r="DA63" s="198"/>
      <c r="DB63" s="198"/>
      <c r="DC63" s="198"/>
      <c r="DD63" s="198"/>
      <c r="DE63" s="198"/>
      <c r="DF63" s="198"/>
      <c r="DG63" s="198"/>
      <c r="DH63" s="198"/>
      <c r="DI63" s="198"/>
      <c r="DJ63" s="198"/>
      <c r="DK63" s="198"/>
      <c r="DL63" s="198"/>
      <c r="DM63" s="198"/>
      <c r="DN63" s="198"/>
      <c r="DO63" s="198"/>
      <c r="DP63" s="198"/>
      <c r="DQ63" s="198"/>
      <c r="DR63" s="198"/>
      <c r="DS63" s="198"/>
      <c r="DT63" s="198"/>
      <c r="DU63" s="198"/>
      <c r="DV63" s="198"/>
      <c r="DW63" s="198"/>
      <c r="DX63" s="198"/>
      <c r="DY63" s="198"/>
      <c r="DZ63" s="198"/>
      <c r="EA63" s="198"/>
    </row>
    <row r="64" spans="1:131" s="199" customFormat="1" ht="13" x14ac:dyDescent="0.15">
      <c r="A64" s="198"/>
      <c r="B64" s="529" t="s">
        <v>113</v>
      </c>
      <c r="C64" s="530"/>
      <c r="D64" s="523"/>
      <c r="E64" s="525"/>
      <c r="F64" s="524"/>
      <c r="G64" s="526"/>
      <c r="H64" s="527"/>
      <c r="I64" s="528"/>
      <c r="J64" s="523"/>
      <c r="K64" s="525"/>
      <c r="L64" s="523" t="s">
        <v>310</v>
      </c>
      <c r="M64" s="524"/>
      <c r="N64" s="521">
        <v>12</v>
      </c>
      <c r="O64" s="522"/>
      <c r="P64" s="394" t="s">
        <v>310</v>
      </c>
      <c r="Q64" s="169">
        <f>IF(T64,VLOOKUP(B64,'Emissions Factors'!$B$145:$F$152,3,FALSE),0)</f>
        <v>0</v>
      </c>
      <c r="R64" s="169">
        <f t="shared" si="0"/>
        <v>1</v>
      </c>
      <c r="S64" s="168">
        <f>VLOOKUP(B64,'Emissions Factors'!$B$145:$F$152,2,FALSE)</f>
        <v>5.0000000000000001E-3</v>
      </c>
      <c r="T64" s="169" t="b">
        <f t="shared" si="1"/>
        <v>0</v>
      </c>
      <c r="U64" s="168">
        <f>IF(W64,VLOOKUP(B64,'Emissions Factors'!$B$145:$F$152,4,FALSE),0)</f>
        <v>0</v>
      </c>
      <c r="V64" s="168">
        <f>VLOOKUP(B64,'Emissions Factors'!$B$145:$F$152,5,FALSE)</f>
        <v>0.5</v>
      </c>
      <c r="W64" s="169" t="b">
        <f t="shared" si="2"/>
        <v>0</v>
      </c>
      <c r="X64" s="170">
        <f t="shared" si="3"/>
        <v>0</v>
      </c>
      <c r="Y64" s="171">
        <f>X64*'Emissions Factors'!$C$24</f>
        <v>0</v>
      </c>
      <c r="Z64" s="144">
        <f>IF(ISERROR(VLOOKUP(J64,'Emissions Factors'!$B$80:$C$132,2,0))=TRUE,0,VLOOKUP(J64,'Emissions Factors'!$B$80:$C$132,2,0))</f>
        <v>0</v>
      </c>
      <c r="AA64" s="162">
        <f t="shared" si="6"/>
        <v>0</v>
      </c>
      <c r="AB64" s="282"/>
      <c r="AC64" s="418">
        <f t="shared" si="5"/>
        <v>0</v>
      </c>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8"/>
      <c r="BR64" s="198"/>
      <c r="BS64" s="198"/>
      <c r="BT64" s="198"/>
      <c r="BU64" s="198"/>
      <c r="BV64" s="198"/>
      <c r="BW64" s="198"/>
      <c r="BX64" s="198"/>
      <c r="BY64" s="198"/>
      <c r="BZ64" s="198"/>
      <c r="CA64" s="198"/>
      <c r="CB64" s="198"/>
      <c r="CC64" s="198"/>
      <c r="CD64" s="198"/>
      <c r="CE64" s="198"/>
      <c r="CF64" s="198"/>
      <c r="CG64" s="198"/>
      <c r="CH64" s="198"/>
      <c r="CI64" s="198"/>
      <c r="CJ64" s="198"/>
      <c r="CK64" s="198"/>
      <c r="CL64" s="198"/>
      <c r="CM64" s="198"/>
      <c r="CN64" s="198"/>
      <c r="CO64" s="198"/>
      <c r="CP64" s="198"/>
      <c r="CQ64" s="198"/>
      <c r="CR64" s="198"/>
      <c r="CS64" s="198"/>
      <c r="CT64" s="198"/>
      <c r="CU64" s="198"/>
      <c r="CV64" s="198"/>
      <c r="CW64" s="198"/>
      <c r="CX64" s="198"/>
      <c r="CY64" s="198"/>
      <c r="CZ64" s="198"/>
      <c r="DA64" s="198"/>
      <c r="DB64" s="198"/>
      <c r="DC64" s="198"/>
      <c r="DD64" s="198"/>
      <c r="DE64" s="198"/>
      <c r="DF64" s="198"/>
      <c r="DG64" s="198"/>
      <c r="DH64" s="198"/>
      <c r="DI64" s="198"/>
      <c r="DJ64" s="198"/>
      <c r="DK64" s="198"/>
      <c r="DL64" s="198"/>
      <c r="DM64" s="198"/>
      <c r="DN64" s="198"/>
      <c r="DO64" s="198"/>
      <c r="DP64" s="198"/>
      <c r="DQ64" s="198"/>
      <c r="DR64" s="198"/>
      <c r="DS64" s="198"/>
      <c r="DT64" s="198"/>
      <c r="DU64" s="198"/>
      <c r="DV64" s="198"/>
      <c r="DW64" s="198"/>
      <c r="DX64" s="198"/>
      <c r="DY64" s="198"/>
      <c r="DZ64" s="198"/>
      <c r="EA64" s="198"/>
    </row>
    <row r="65" spans="1:131" s="199" customFormat="1" ht="13" x14ac:dyDescent="0.15">
      <c r="A65" s="198"/>
      <c r="B65" s="529" t="s">
        <v>113</v>
      </c>
      <c r="C65" s="530"/>
      <c r="D65" s="523"/>
      <c r="E65" s="525"/>
      <c r="F65" s="524"/>
      <c r="G65" s="526"/>
      <c r="H65" s="527"/>
      <c r="I65" s="528"/>
      <c r="J65" s="523"/>
      <c r="K65" s="525"/>
      <c r="L65" s="523" t="s">
        <v>310</v>
      </c>
      <c r="M65" s="524"/>
      <c r="N65" s="521">
        <v>12</v>
      </c>
      <c r="O65" s="522"/>
      <c r="P65" s="394" t="s">
        <v>310</v>
      </c>
      <c r="Q65" s="169">
        <f>IF(T65,VLOOKUP(B65,'Emissions Factors'!$B$145:$F$152,3,FALSE),0)</f>
        <v>0</v>
      </c>
      <c r="R65" s="169">
        <f t="shared" si="0"/>
        <v>1</v>
      </c>
      <c r="S65" s="168">
        <f>VLOOKUP(B65,'Emissions Factors'!$B$145:$F$152,2,FALSE)</f>
        <v>5.0000000000000001E-3</v>
      </c>
      <c r="T65" s="169" t="b">
        <f t="shared" si="1"/>
        <v>0</v>
      </c>
      <c r="U65" s="168">
        <f>IF(W65,VLOOKUP(B65,'Emissions Factors'!$B$145:$F$152,4,FALSE),0)</f>
        <v>0</v>
      </c>
      <c r="V65" s="168">
        <f>VLOOKUP(B65,'Emissions Factors'!$B$145:$F$152,5,FALSE)</f>
        <v>0.5</v>
      </c>
      <c r="W65" s="169" t="b">
        <f t="shared" si="2"/>
        <v>0</v>
      </c>
      <c r="X65" s="170">
        <f t="shared" si="3"/>
        <v>0</v>
      </c>
      <c r="Y65" s="171">
        <f>X65*'Emissions Factors'!$C$24</f>
        <v>0</v>
      </c>
      <c r="Z65" s="144">
        <f>IF(ISERROR(VLOOKUP(J65,'Emissions Factors'!$B$80:$C$132,2,0))=TRUE,0,VLOOKUP(J65,'Emissions Factors'!$B$80:$C$132,2,0))</f>
        <v>0</v>
      </c>
      <c r="AA65" s="162">
        <f t="shared" si="6"/>
        <v>0</v>
      </c>
      <c r="AB65" s="282"/>
      <c r="AC65" s="418">
        <f t="shared" si="5"/>
        <v>0</v>
      </c>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198"/>
      <c r="BV65" s="198"/>
      <c r="BW65" s="198"/>
      <c r="BX65" s="198"/>
      <c r="BY65" s="198"/>
      <c r="BZ65" s="198"/>
      <c r="CA65" s="198"/>
      <c r="CB65" s="198"/>
      <c r="CC65" s="198"/>
      <c r="CD65" s="198"/>
      <c r="CE65" s="198"/>
      <c r="CF65" s="198"/>
      <c r="CG65" s="198"/>
      <c r="CH65" s="198"/>
      <c r="CI65" s="198"/>
      <c r="CJ65" s="198"/>
      <c r="CK65" s="198"/>
      <c r="CL65" s="198"/>
      <c r="CM65" s="198"/>
      <c r="CN65" s="198"/>
      <c r="CO65" s="198"/>
      <c r="CP65" s="198"/>
      <c r="CQ65" s="198"/>
      <c r="CR65" s="198"/>
      <c r="CS65" s="198"/>
      <c r="CT65" s="198"/>
      <c r="CU65" s="198"/>
      <c r="CV65" s="198"/>
      <c r="CW65" s="198"/>
      <c r="CX65" s="198"/>
      <c r="CY65" s="198"/>
      <c r="CZ65" s="198"/>
      <c r="DA65" s="198"/>
      <c r="DB65" s="198"/>
      <c r="DC65" s="198"/>
      <c r="DD65" s="198"/>
      <c r="DE65" s="198"/>
      <c r="DF65" s="198"/>
      <c r="DG65" s="198"/>
      <c r="DH65" s="198"/>
      <c r="DI65" s="198"/>
      <c r="DJ65" s="198"/>
      <c r="DK65" s="198"/>
      <c r="DL65" s="198"/>
      <c r="DM65" s="198"/>
      <c r="DN65" s="198"/>
      <c r="DO65" s="198"/>
      <c r="DP65" s="198"/>
      <c r="DQ65" s="198"/>
      <c r="DR65" s="198"/>
      <c r="DS65" s="198"/>
      <c r="DT65" s="198"/>
      <c r="DU65" s="198"/>
      <c r="DV65" s="198"/>
      <c r="DW65" s="198"/>
      <c r="DX65" s="198"/>
      <c r="DY65" s="198"/>
      <c r="DZ65" s="198"/>
      <c r="EA65" s="198"/>
    </row>
    <row r="66" spans="1:131" s="199" customFormat="1" ht="13" x14ac:dyDescent="0.15">
      <c r="A66" s="198"/>
      <c r="B66" s="529" t="s">
        <v>113</v>
      </c>
      <c r="C66" s="530"/>
      <c r="D66" s="523"/>
      <c r="E66" s="525"/>
      <c r="F66" s="524"/>
      <c r="G66" s="526"/>
      <c r="H66" s="527"/>
      <c r="I66" s="528"/>
      <c r="J66" s="523"/>
      <c r="K66" s="525"/>
      <c r="L66" s="523" t="s">
        <v>310</v>
      </c>
      <c r="M66" s="524"/>
      <c r="N66" s="521">
        <v>12</v>
      </c>
      <c r="O66" s="522"/>
      <c r="P66" s="394" t="s">
        <v>310</v>
      </c>
      <c r="Q66" s="169">
        <f>IF(T66,VLOOKUP(B66,'Emissions Factors'!$B$145:$F$152,3,FALSE),0)</f>
        <v>0</v>
      </c>
      <c r="R66" s="169">
        <f t="shared" si="0"/>
        <v>1</v>
      </c>
      <c r="S66" s="168">
        <f>VLOOKUP(B66,'Emissions Factors'!$B$145:$F$152,2,FALSE)</f>
        <v>5.0000000000000001E-3</v>
      </c>
      <c r="T66" s="169" t="b">
        <f t="shared" si="1"/>
        <v>0</v>
      </c>
      <c r="U66" s="168">
        <f>IF(W66,VLOOKUP(B66,'Emissions Factors'!$B$145:$F$152,4,FALSE),0)</f>
        <v>0</v>
      </c>
      <c r="V66" s="168">
        <f>VLOOKUP(B66,'Emissions Factors'!$B$145:$F$152,5,FALSE)</f>
        <v>0.5</v>
      </c>
      <c r="W66" s="169" t="b">
        <f t="shared" si="2"/>
        <v>0</v>
      </c>
      <c r="X66" s="170">
        <f t="shared" si="3"/>
        <v>0</v>
      </c>
      <c r="Y66" s="171">
        <f>X66*'Emissions Factors'!$C$24</f>
        <v>0</v>
      </c>
      <c r="Z66" s="144">
        <f>IF(ISERROR(VLOOKUP(J66,'Emissions Factors'!$B$80:$C$132,2,0))=TRUE,0,VLOOKUP(J66,'Emissions Factors'!$B$80:$C$132,2,0))</f>
        <v>0</v>
      </c>
      <c r="AA66" s="162">
        <f t="shared" si="6"/>
        <v>0</v>
      </c>
      <c r="AB66" s="282"/>
      <c r="AC66" s="418">
        <f t="shared" si="5"/>
        <v>0</v>
      </c>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row>
    <row r="67" spans="1:131" s="21" customFormat="1" ht="13" x14ac:dyDescent="0.15">
      <c r="A67" s="121"/>
      <c r="B67" s="140"/>
      <c r="C67" s="274"/>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row>
    <row r="68" spans="1:131" ht="20.25" customHeight="1" x14ac:dyDescent="0.2">
      <c r="B68" s="490" t="s">
        <v>433</v>
      </c>
      <c r="C68" s="490"/>
      <c r="D68" s="490"/>
      <c r="E68" s="490"/>
      <c r="F68" s="490"/>
      <c r="G68" s="490"/>
      <c r="H68" s="490"/>
      <c r="I68" s="490"/>
      <c r="J68" s="490"/>
      <c r="K68" s="490"/>
      <c r="L68" s="490"/>
      <c r="M68" s="490"/>
      <c r="N68" s="490"/>
      <c r="O68" s="490"/>
      <c r="P68" s="490"/>
      <c r="Q68" s="2"/>
      <c r="R68" s="2"/>
      <c r="S68" s="2"/>
      <c r="T68" s="2"/>
      <c r="U68" s="2"/>
      <c r="V68" s="2"/>
      <c r="W68" s="2"/>
      <c r="X68" s="2"/>
      <c r="Y68" s="2"/>
      <c r="Z68" s="2"/>
      <c r="AA68" s="2"/>
      <c r="AB68" s="2"/>
    </row>
    <row r="69" spans="1:131" s="2" customFormat="1" x14ac:dyDescent="0.15">
      <c r="B69" s="512"/>
      <c r="C69" s="513"/>
      <c r="D69" s="513"/>
      <c r="E69" s="513"/>
      <c r="F69" s="513"/>
      <c r="G69" s="513"/>
      <c r="H69" s="513"/>
      <c r="I69" s="513"/>
      <c r="J69" s="513"/>
      <c r="K69" s="513"/>
      <c r="L69" s="513"/>
      <c r="M69" s="513"/>
      <c r="N69" s="513"/>
      <c r="O69" s="513"/>
      <c r="P69" s="514"/>
    </row>
    <row r="70" spans="1:131" s="2" customFormat="1" x14ac:dyDescent="0.15">
      <c r="B70" s="515"/>
      <c r="C70" s="516"/>
      <c r="D70" s="516"/>
      <c r="E70" s="516"/>
      <c r="F70" s="516"/>
      <c r="G70" s="516"/>
      <c r="H70" s="516"/>
      <c r="I70" s="516"/>
      <c r="J70" s="516"/>
      <c r="K70" s="516"/>
      <c r="L70" s="516"/>
      <c r="M70" s="516"/>
      <c r="N70" s="516"/>
      <c r="O70" s="516"/>
      <c r="P70" s="517"/>
    </row>
    <row r="71" spans="1:131" s="2" customFormat="1" x14ac:dyDescent="0.15">
      <c r="B71" s="515"/>
      <c r="C71" s="516"/>
      <c r="D71" s="516"/>
      <c r="E71" s="516"/>
      <c r="F71" s="516"/>
      <c r="G71" s="516"/>
      <c r="H71" s="516"/>
      <c r="I71" s="516"/>
      <c r="J71" s="516"/>
      <c r="K71" s="516"/>
      <c r="L71" s="516"/>
      <c r="M71" s="516"/>
      <c r="N71" s="516"/>
      <c r="O71" s="516"/>
      <c r="P71" s="517"/>
    </row>
    <row r="72" spans="1:131" s="2" customFormat="1" x14ac:dyDescent="0.15">
      <c r="B72" s="515"/>
      <c r="C72" s="516"/>
      <c r="D72" s="516"/>
      <c r="E72" s="516"/>
      <c r="F72" s="516"/>
      <c r="G72" s="516"/>
      <c r="H72" s="516"/>
      <c r="I72" s="516"/>
      <c r="J72" s="516"/>
      <c r="K72" s="516"/>
      <c r="L72" s="516"/>
      <c r="M72" s="516"/>
      <c r="N72" s="516"/>
      <c r="O72" s="516"/>
      <c r="P72" s="517"/>
    </row>
    <row r="73" spans="1:131" s="2" customFormat="1" x14ac:dyDescent="0.15">
      <c r="B73" s="515"/>
      <c r="C73" s="516"/>
      <c r="D73" s="516"/>
      <c r="E73" s="516"/>
      <c r="F73" s="516"/>
      <c r="G73" s="516"/>
      <c r="H73" s="516"/>
      <c r="I73" s="516"/>
      <c r="J73" s="516"/>
      <c r="K73" s="516"/>
      <c r="L73" s="516"/>
      <c r="M73" s="516"/>
      <c r="N73" s="516"/>
      <c r="O73" s="516"/>
      <c r="P73" s="517"/>
    </row>
    <row r="74" spans="1:131" s="2" customFormat="1" x14ac:dyDescent="0.15">
      <c r="B74" s="518"/>
      <c r="C74" s="519"/>
      <c r="D74" s="519"/>
      <c r="E74" s="519"/>
      <c r="F74" s="519"/>
      <c r="G74" s="519"/>
      <c r="H74" s="519"/>
      <c r="I74" s="519"/>
      <c r="J74" s="519"/>
      <c r="K74" s="519"/>
      <c r="L74" s="519"/>
      <c r="M74" s="519"/>
      <c r="N74" s="519"/>
      <c r="O74" s="519"/>
      <c r="P74" s="520"/>
    </row>
    <row r="75" spans="1:131" s="2" customFormat="1" x14ac:dyDescent="0.15">
      <c r="B75" s="10"/>
      <c r="C75" s="130"/>
    </row>
    <row r="76" spans="1:131" s="2" customFormat="1" x14ac:dyDescent="0.15">
      <c r="B76" s="10"/>
      <c r="C76" s="130"/>
    </row>
    <row r="77" spans="1:131" s="2" customFormat="1" x14ac:dyDescent="0.15">
      <c r="B77" s="10"/>
      <c r="C77" s="130"/>
    </row>
    <row r="78" spans="1:131" s="2" customFormat="1" x14ac:dyDescent="0.15">
      <c r="B78" s="10"/>
      <c r="C78" s="130"/>
    </row>
    <row r="79" spans="1:131" s="2" customFormat="1" x14ac:dyDescent="0.15">
      <c r="B79" s="10"/>
      <c r="C79" s="130"/>
    </row>
    <row r="80" spans="1:131" s="2" customFormat="1" x14ac:dyDescent="0.15">
      <c r="B80" s="10"/>
      <c r="C80" s="130"/>
    </row>
    <row r="81" spans="2:3" s="2" customFormat="1" x14ac:dyDescent="0.15">
      <c r="B81" s="10"/>
      <c r="C81" s="130"/>
    </row>
    <row r="82" spans="2:3" s="2" customFormat="1" x14ac:dyDescent="0.15">
      <c r="B82" s="10"/>
      <c r="C82" s="130"/>
    </row>
    <row r="83" spans="2:3" s="2" customFormat="1" x14ac:dyDescent="0.15">
      <c r="B83" s="10"/>
      <c r="C83" s="130"/>
    </row>
    <row r="84" spans="2:3" s="2" customFormat="1" x14ac:dyDescent="0.15">
      <c r="B84" s="10"/>
      <c r="C84" s="130"/>
    </row>
    <row r="85" spans="2:3" s="2" customFormat="1" x14ac:dyDescent="0.15">
      <c r="B85" s="10"/>
      <c r="C85" s="130"/>
    </row>
    <row r="86" spans="2:3" s="2" customFormat="1" x14ac:dyDescent="0.15">
      <c r="B86" s="10"/>
      <c r="C86" s="130"/>
    </row>
    <row r="87" spans="2:3" s="2" customFormat="1" x14ac:dyDescent="0.15">
      <c r="B87" s="10"/>
      <c r="C87" s="130"/>
    </row>
    <row r="88" spans="2:3" s="2" customFormat="1" x14ac:dyDescent="0.15">
      <c r="B88" s="10"/>
      <c r="C88" s="130"/>
    </row>
    <row r="89" spans="2:3" s="2" customFormat="1" x14ac:dyDescent="0.15">
      <c r="B89" s="10"/>
      <c r="C89" s="130"/>
    </row>
    <row r="90" spans="2:3" s="2" customFormat="1" x14ac:dyDescent="0.15">
      <c r="B90" s="10"/>
      <c r="C90" s="130"/>
    </row>
    <row r="91" spans="2:3" s="2" customFormat="1" x14ac:dyDescent="0.15">
      <c r="B91" s="10"/>
      <c r="C91" s="130"/>
    </row>
    <row r="92" spans="2:3" s="2" customFormat="1" x14ac:dyDescent="0.15">
      <c r="B92" s="10"/>
      <c r="C92" s="130"/>
    </row>
    <row r="93" spans="2:3" s="2" customFormat="1" x14ac:dyDescent="0.15">
      <c r="B93" s="10"/>
      <c r="C93" s="130"/>
    </row>
    <row r="94" spans="2:3" s="2" customFormat="1" x14ac:dyDescent="0.15">
      <c r="B94" s="10"/>
      <c r="C94" s="130"/>
    </row>
    <row r="95" spans="2:3" s="2" customFormat="1" x14ac:dyDescent="0.15">
      <c r="B95" s="10"/>
      <c r="C95" s="130"/>
    </row>
    <row r="96" spans="2:3" s="2" customFormat="1" x14ac:dyDescent="0.15">
      <c r="B96" s="10"/>
      <c r="C96" s="130"/>
    </row>
    <row r="97" spans="2:3" s="2" customFormat="1" x14ac:dyDescent="0.15">
      <c r="B97" s="10"/>
      <c r="C97" s="130"/>
    </row>
    <row r="98" spans="2:3" s="2" customFormat="1" x14ac:dyDescent="0.15">
      <c r="B98" s="10"/>
      <c r="C98" s="130"/>
    </row>
    <row r="99" spans="2:3" s="2" customFormat="1" x14ac:dyDescent="0.15">
      <c r="B99" s="10"/>
      <c r="C99" s="130"/>
    </row>
    <row r="100" spans="2:3" s="2" customFormat="1" x14ac:dyDescent="0.15">
      <c r="B100" s="10"/>
      <c r="C100" s="130"/>
    </row>
    <row r="101" spans="2:3" s="2" customFormat="1" x14ac:dyDescent="0.15">
      <c r="B101" s="10"/>
      <c r="C101" s="130"/>
    </row>
    <row r="102" spans="2:3" s="2" customFormat="1" x14ac:dyDescent="0.15">
      <c r="B102" s="10"/>
      <c r="C102" s="130"/>
    </row>
    <row r="103" spans="2:3" s="2" customFormat="1" x14ac:dyDescent="0.15">
      <c r="B103" s="10"/>
      <c r="C103" s="130"/>
    </row>
    <row r="104" spans="2:3" s="2" customFormat="1" x14ac:dyDescent="0.15">
      <c r="B104" s="10"/>
      <c r="C104" s="130"/>
    </row>
    <row r="105" spans="2:3" s="2" customFormat="1" x14ac:dyDescent="0.15">
      <c r="B105" s="10"/>
      <c r="C105" s="130"/>
    </row>
    <row r="106" spans="2:3" s="2" customFormat="1" x14ac:dyDescent="0.15">
      <c r="B106" s="10"/>
      <c r="C106" s="130"/>
    </row>
    <row r="107" spans="2:3" s="2" customFormat="1" x14ac:dyDescent="0.15">
      <c r="B107" s="10"/>
      <c r="C107" s="130"/>
    </row>
    <row r="108" spans="2:3" s="2" customFormat="1" x14ac:dyDescent="0.15">
      <c r="B108" s="10"/>
      <c r="C108" s="130"/>
    </row>
    <row r="109" spans="2:3" s="2" customFormat="1" x14ac:dyDescent="0.15">
      <c r="B109" s="10"/>
      <c r="C109" s="130"/>
    </row>
    <row r="110" spans="2:3" s="2" customFormat="1" x14ac:dyDescent="0.15">
      <c r="B110" s="10"/>
      <c r="C110" s="130"/>
    </row>
    <row r="111" spans="2:3" s="2" customFormat="1" x14ac:dyDescent="0.15">
      <c r="B111" s="10"/>
      <c r="C111" s="130"/>
    </row>
    <row r="112" spans="2:3" s="2" customFormat="1" x14ac:dyDescent="0.15">
      <c r="B112" s="10"/>
      <c r="C112" s="130"/>
    </row>
    <row r="113" spans="2:3" s="2" customFormat="1" x14ac:dyDescent="0.15">
      <c r="B113" s="10"/>
      <c r="C113" s="130"/>
    </row>
    <row r="114" spans="2:3" s="2" customFormat="1" x14ac:dyDescent="0.15">
      <c r="B114" s="10"/>
      <c r="C114" s="130"/>
    </row>
    <row r="115" spans="2:3" s="2" customFormat="1" x14ac:dyDescent="0.15">
      <c r="B115" s="10"/>
      <c r="C115" s="130"/>
    </row>
    <row r="116" spans="2:3" s="2" customFormat="1" x14ac:dyDescent="0.15">
      <c r="B116" s="10"/>
      <c r="C116" s="130"/>
    </row>
    <row r="117" spans="2:3" s="2" customFormat="1" x14ac:dyDescent="0.15">
      <c r="B117" s="10"/>
      <c r="C117" s="130"/>
    </row>
    <row r="118" spans="2:3" s="2" customFormat="1" x14ac:dyDescent="0.15">
      <c r="B118" s="10"/>
      <c r="C118" s="130"/>
    </row>
    <row r="119" spans="2:3" s="2" customFormat="1" x14ac:dyDescent="0.15">
      <c r="B119" s="10"/>
      <c r="C119" s="130"/>
    </row>
    <row r="120" spans="2:3" s="2" customFormat="1" x14ac:dyDescent="0.15">
      <c r="B120" s="10"/>
      <c r="C120" s="130"/>
    </row>
    <row r="121" spans="2:3" s="2" customFormat="1" x14ac:dyDescent="0.15">
      <c r="B121" s="10"/>
      <c r="C121" s="130"/>
    </row>
    <row r="122" spans="2:3" s="2" customFormat="1" x14ac:dyDescent="0.15">
      <c r="B122" s="10"/>
      <c r="C122" s="130"/>
    </row>
    <row r="123" spans="2:3" s="2" customFormat="1" x14ac:dyDescent="0.15">
      <c r="B123" s="10"/>
      <c r="C123" s="130"/>
    </row>
    <row r="124" spans="2:3" s="2" customFormat="1" x14ac:dyDescent="0.15">
      <c r="B124" s="10"/>
      <c r="C124" s="130"/>
    </row>
    <row r="125" spans="2:3" s="2" customFormat="1" x14ac:dyDescent="0.15">
      <c r="B125" s="10"/>
      <c r="C125" s="130"/>
    </row>
    <row r="126" spans="2:3" s="2" customFormat="1" x14ac:dyDescent="0.15">
      <c r="B126" s="10"/>
      <c r="C126" s="130"/>
    </row>
    <row r="127" spans="2:3" s="2" customFormat="1" x14ac:dyDescent="0.15">
      <c r="B127" s="10"/>
      <c r="C127" s="130"/>
    </row>
    <row r="128" spans="2:3" s="2" customFormat="1" x14ac:dyDescent="0.15">
      <c r="B128" s="10"/>
      <c r="C128" s="130"/>
    </row>
    <row r="129" spans="2:3" s="2" customFormat="1" x14ac:dyDescent="0.15">
      <c r="B129" s="10"/>
      <c r="C129" s="130"/>
    </row>
    <row r="130" spans="2:3" s="2" customFormat="1" x14ac:dyDescent="0.15">
      <c r="B130" s="10"/>
      <c r="C130" s="130"/>
    </row>
    <row r="131" spans="2:3" s="2" customFormat="1" x14ac:dyDescent="0.15">
      <c r="B131" s="10"/>
      <c r="C131" s="130"/>
    </row>
    <row r="132" spans="2:3" s="2" customFormat="1" x14ac:dyDescent="0.15">
      <c r="B132" s="10"/>
      <c r="C132" s="130"/>
    </row>
    <row r="133" spans="2:3" s="2" customFormat="1" x14ac:dyDescent="0.15">
      <c r="B133" s="10"/>
      <c r="C133" s="130"/>
    </row>
    <row r="134" spans="2:3" s="2" customFormat="1" x14ac:dyDescent="0.15">
      <c r="B134" s="10"/>
      <c r="C134" s="130"/>
    </row>
    <row r="135" spans="2:3" s="2" customFormat="1" x14ac:dyDescent="0.15">
      <c r="B135" s="10"/>
      <c r="C135" s="130"/>
    </row>
    <row r="136" spans="2:3" s="2" customFormat="1" x14ac:dyDescent="0.15">
      <c r="B136" s="10"/>
      <c r="C136" s="130"/>
    </row>
    <row r="137" spans="2:3" s="2" customFormat="1" x14ac:dyDescent="0.15">
      <c r="B137" s="10"/>
      <c r="C137" s="130"/>
    </row>
    <row r="138" spans="2:3" s="2" customFormat="1" x14ac:dyDescent="0.15">
      <c r="B138" s="10"/>
      <c r="C138" s="130"/>
    </row>
    <row r="139" spans="2:3" s="2" customFormat="1" x14ac:dyDescent="0.15">
      <c r="B139" s="10"/>
      <c r="C139" s="130"/>
    </row>
    <row r="140" spans="2:3" s="2" customFormat="1" x14ac:dyDescent="0.15">
      <c r="B140" s="10"/>
      <c r="C140" s="130"/>
    </row>
    <row r="141" spans="2:3" s="2" customFormat="1" x14ac:dyDescent="0.15">
      <c r="B141" s="10"/>
      <c r="C141" s="130"/>
    </row>
    <row r="142" spans="2:3" s="2" customFormat="1" x14ac:dyDescent="0.15">
      <c r="B142" s="10"/>
      <c r="C142" s="130"/>
    </row>
    <row r="143" spans="2:3" s="2" customFormat="1" x14ac:dyDescent="0.15">
      <c r="B143" s="10"/>
      <c r="C143" s="130"/>
    </row>
    <row r="144" spans="2:3" s="2" customFormat="1" x14ac:dyDescent="0.15">
      <c r="B144" s="10"/>
      <c r="C144" s="130"/>
    </row>
    <row r="145" spans="2:3" s="2" customFormat="1" x14ac:dyDescent="0.15">
      <c r="B145" s="10"/>
      <c r="C145" s="130"/>
    </row>
    <row r="146" spans="2:3" s="2" customFormat="1" x14ac:dyDescent="0.15">
      <c r="B146" s="10"/>
      <c r="C146" s="130"/>
    </row>
    <row r="147" spans="2:3" s="2" customFormat="1" x14ac:dyDescent="0.15">
      <c r="B147" s="10"/>
      <c r="C147" s="130"/>
    </row>
    <row r="148" spans="2:3" s="2" customFormat="1" x14ac:dyDescent="0.15">
      <c r="B148" s="10"/>
      <c r="C148" s="130"/>
    </row>
    <row r="149" spans="2:3" s="2" customFormat="1" x14ac:dyDescent="0.15">
      <c r="B149" s="10"/>
      <c r="C149" s="130"/>
    </row>
    <row r="150" spans="2:3" s="2" customFormat="1" x14ac:dyDescent="0.15">
      <c r="B150" s="10"/>
      <c r="C150" s="130"/>
    </row>
    <row r="151" spans="2:3" s="2" customFormat="1" x14ac:dyDescent="0.15">
      <c r="B151" s="10"/>
      <c r="C151" s="130"/>
    </row>
    <row r="152" spans="2:3" s="2" customFormat="1" x14ac:dyDescent="0.15">
      <c r="B152" s="10"/>
      <c r="C152" s="130"/>
    </row>
    <row r="153" spans="2:3" s="2" customFormat="1" x14ac:dyDescent="0.15">
      <c r="B153" s="10"/>
      <c r="C153" s="130"/>
    </row>
    <row r="154" spans="2:3" s="2" customFormat="1" x14ac:dyDescent="0.15">
      <c r="B154" s="10"/>
      <c r="C154" s="130"/>
    </row>
    <row r="155" spans="2:3" s="2" customFormat="1" x14ac:dyDescent="0.15">
      <c r="B155" s="10"/>
      <c r="C155" s="130"/>
    </row>
    <row r="156" spans="2:3" s="2" customFormat="1" x14ac:dyDescent="0.15">
      <c r="B156" s="10"/>
      <c r="C156" s="130"/>
    </row>
    <row r="157" spans="2:3" s="2" customFormat="1" x14ac:dyDescent="0.15">
      <c r="B157" s="10"/>
      <c r="C157" s="130"/>
    </row>
    <row r="158" spans="2:3" s="2" customFormat="1" x14ac:dyDescent="0.15">
      <c r="B158" s="10"/>
      <c r="C158" s="130"/>
    </row>
    <row r="159" spans="2:3" s="2" customFormat="1" x14ac:dyDescent="0.15">
      <c r="B159" s="10"/>
      <c r="C159" s="130"/>
    </row>
    <row r="160" spans="2:3" s="2" customFormat="1" x14ac:dyDescent="0.15">
      <c r="B160" s="10"/>
      <c r="C160" s="130"/>
    </row>
    <row r="161" spans="2:3" s="2" customFormat="1" x14ac:dyDescent="0.15">
      <c r="B161" s="10"/>
      <c r="C161" s="130"/>
    </row>
    <row r="162" spans="2:3" s="2" customFormat="1" x14ac:dyDescent="0.15">
      <c r="B162" s="10"/>
      <c r="C162" s="130"/>
    </row>
    <row r="163" spans="2:3" s="2" customFormat="1" x14ac:dyDescent="0.15">
      <c r="B163" s="10"/>
      <c r="C163" s="130"/>
    </row>
    <row r="164" spans="2:3" s="2" customFormat="1" x14ac:dyDescent="0.15">
      <c r="B164" s="10"/>
      <c r="C164" s="130"/>
    </row>
    <row r="165" spans="2:3" s="2" customFormat="1" x14ac:dyDescent="0.15">
      <c r="B165" s="10"/>
      <c r="C165" s="130"/>
    </row>
    <row r="166" spans="2:3" s="2" customFormat="1" x14ac:dyDescent="0.15">
      <c r="B166" s="10"/>
      <c r="C166" s="130"/>
    </row>
    <row r="167" spans="2:3" s="2" customFormat="1" x14ac:dyDescent="0.15">
      <c r="B167" s="10"/>
      <c r="C167" s="130"/>
    </row>
    <row r="168" spans="2:3" s="2" customFormat="1" x14ac:dyDescent="0.15">
      <c r="B168" s="10"/>
      <c r="C168" s="130"/>
    </row>
    <row r="169" spans="2:3" s="2" customFormat="1" x14ac:dyDescent="0.15">
      <c r="B169" s="10"/>
      <c r="C169" s="130"/>
    </row>
    <row r="170" spans="2:3" s="2" customFormat="1" x14ac:dyDescent="0.15">
      <c r="B170" s="10"/>
      <c r="C170" s="130"/>
    </row>
    <row r="171" spans="2:3" s="2" customFormat="1" x14ac:dyDescent="0.15">
      <c r="B171" s="10"/>
      <c r="C171" s="130"/>
    </row>
    <row r="172" spans="2:3" s="2" customFormat="1" x14ac:dyDescent="0.15">
      <c r="B172" s="10"/>
      <c r="C172" s="130"/>
    </row>
    <row r="173" spans="2:3" s="2" customFormat="1" x14ac:dyDescent="0.15">
      <c r="B173" s="10"/>
      <c r="C173" s="130"/>
    </row>
    <row r="174" spans="2:3" s="2" customFormat="1" x14ac:dyDescent="0.15">
      <c r="B174" s="10"/>
      <c r="C174" s="130"/>
    </row>
    <row r="175" spans="2:3" s="2" customFormat="1" x14ac:dyDescent="0.15">
      <c r="B175" s="10"/>
      <c r="C175" s="130"/>
    </row>
  </sheetData>
  <sheetProtection algorithmName="SHA-512" hashValue="Pll9DuAqBNgdJphg3fiU3Y7IVkS1zem+KjeJ32qG77Fc5Hntr6oKKDR6MztWaRPMLt8yGN+3/IWg/ywHjPIB8Q==" saltValue="FrRdhAwf7keb3ealSi05iw==" spinCount="100000" sheet="1" objects="1" scenarios="1"/>
  <mergeCells count="285">
    <mergeCell ref="J21:K21"/>
    <mergeCell ref="L57:M57"/>
    <mergeCell ref="L58:M58"/>
    <mergeCell ref="D58:F58"/>
    <mergeCell ref="L21:M21"/>
    <mergeCell ref="N21:O21"/>
    <mergeCell ref="L40:M40"/>
    <mergeCell ref="L41:M41"/>
    <mergeCell ref="L42:M42"/>
    <mergeCell ref="L43:M43"/>
    <mergeCell ref="L44:M44"/>
    <mergeCell ref="L45:M45"/>
    <mergeCell ref="L46:M46"/>
    <mergeCell ref="L23:M23"/>
    <mergeCell ref="L24:M24"/>
    <mergeCell ref="N54:O54"/>
    <mergeCell ref="N58:O58"/>
    <mergeCell ref="N55:O55"/>
    <mergeCell ref="L47:M47"/>
    <mergeCell ref="L48:M48"/>
    <mergeCell ref="L56:M56"/>
    <mergeCell ref="D44:F44"/>
    <mergeCell ref="G44:I44"/>
    <mergeCell ref="J44:K44"/>
    <mergeCell ref="N44:O44"/>
    <mergeCell ref="B59:C59"/>
    <mergeCell ref="B60:C60"/>
    <mergeCell ref="B61:C61"/>
    <mergeCell ref="B66:C66"/>
    <mergeCell ref="B52:C52"/>
    <mergeCell ref="D52:F52"/>
    <mergeCell ref="G52:I52"/>
    <mergeCell ref="J52:K52"/>
    <mergeCell ref="B55:C55"/>
    <mergeCell ref="D55:F55"/>
    <mergeCell ref="G55:I55"/>
    <mergeCell ref="J55:K55"/>
    <mergeCell ref="D59:F59"/>
    <mergeCell ref="G59:I59"/>
    <mergeCell ref="J59:K59"/>
    <mergeCell ref="D62:F62"/>
    <mergeCell ref="G62:I62"/>
    <mergeCell ref="J62:K62"/>
    <mergeCell ref="B48:C48"/>
    <mergeCell ref="D48:F48"/>
    <mergeCell ref="G48:I48"/>
    <mergeCell ref="B49:C49"/>
    <mergeCell ref="L49:M49"/>
    <mergeCell ref="J48:K48"/>
    <mergeCell ref="N48:O48"/>
    <mergeCell ref="B50:C50"/>
    <mergeCell ref="N50:O50"/>
    <mergeCell ref="L50:M50"/>
    <mergeCell ref="B51:C51"/>
    <mergeCell ref="D51:F51"/>
    <mergeCell ref="G51:I51"/>
    <mergeCell ref="J51:K51"/>
    <mergeCell ref="N51:O51"/>
    <mergeCell ref="B57:C57"/>
    <mergeCell ref="B58:C58"/>
    <mergeCell ref="B56:C56"/>
    <mergeCell ref="D56:F56"/>
    <mergeCell ref="G56:I56"/>
    <mergeCell ref="J56:K56"/>
    <mergeCell ref="N56:O56"/>
    <mergeCell ref="G58:I58"/>
    <mergeCell ref="J58:K58"/>
    <mergeCell ref="N52:O52"/>
    <mergeCell ref="B53:C53"/>
    <mergeCell ref="D53:F53"/>
    <mergeCell ref="G53:I53"/>
    <mergeCell ref="J53:K53"/>
    <mergeCell ref="N53:O53"/>
    <mergeCell ref="B54:C54"/>
    <mergeCell ref="D54:F54"/>
    <mergeCell ref="G54:I54"/>
    <mergeCell ref="J54:K54"/>
    <mergeCell ref="B4:P4"/>
    <mergeCell ref="B6:P6"/>
    <mergeCell ref="B63:C63"/>
    <mergeCell ref="B62:C62"/>
    <mergeCell ref="B65:C65"/>
    <mergeCell ref="B64:C64"/>
    <mergeCell ref="D63:F63"/>
    <mergeCell ref="G63:I63"/>
    <mergeCell ref="J63:K63"/>
    <mergeCell ref="N63:O63"/>
    <mergeCell ref="D64:F64"/>
    <mergeCell ref="G64:I64"/>
    <mergeCell ref="J64:K64"/>
    <mergeCell ref="N64:O64"/>
    <mergeCell ref="D50:F50"/>
    <mergeCell ref="G50:I50"/>
    <mergeCell ref="J50:K50"/>
    <mergeCell ref="B27:C27"/>
    <mergeCell ref="D27:F27"/>
    <mergeCell ref="G27:I27"/>
    <mergeCell ref="J27:K27"/>
    <mergeCell ref="N27:O27"/>
    <mergeCell ref="B47:C47"/>
    <mergeCell ref="D47:F47"/>
    <mergeCell ref="B35:C35"/>
    <mergeCell ref="B45:C45"/>
    <mergeCell ref="B38:C38"/>
    <mergeCell ref="B41:C41"/>
    <mergeCell ref="B40:C40"/>
    <mergeCell ref="D40:F40"/>
    <mergeCell ref="G40:I40"/>
    <mergeCell ref="J40:K40"/>
    <mergeCell ref="N40:O40"/>
    <mergeCell ref="D41:F41"/>
    <mergeCell ref="G41:I41"/>
    <mergeCell ref="J41:K41"/>
    <mergeCell ref="N41:O41"/>
    <mergeCell ref="B42:C42"/>
    <mergeCell ref="B44:C44"/>
    <mergeCell ref="B43:C43"/>
    <mergeCell ref="D42:F42"/>
    <mergeCell ref="G42:I42"/>
    <mergeCell ref="J42:K42"/>
    <mergeCell ref="N42:O42"/>
    <mergeCell ref="D43:F43"/>
    <mergeCell ref="G43:I43"/>
    <mergeCell ref="J43:K43"/>
    <mergeCell ref="N43:O43"/>
    <mergeCell ref="B7:P7"/>
    <mergeCell ref="B10:P10"/>
    <mergeCell ref="B19:P19"/>
    <mergeCell ref="B22:C22"/>
    <mergeCell ref="B32:C32"/>
    <mergeCell ref="B37:C37"/>
    <mergeCell ref="D22:F22"/>
    <mergeCell ref="G22:I22"/>
    <mergeCell ref="J22:K22"/>
    <mergeCell ref="N20:O20"/>
    <mergeCell ref="N22:O22"/>
    <mergeCell ref="D20:F20"/>
    <mergeCell ref="G20:I20"/>
    <mergeCell ref="J20:K20"/>
    <mergeCell ref="D24:F24"/>
    <mergeCell ref="G24:I24"/>
    <mergeCell ref="J24:K24"/>
    <mergeCell ref="N24:O24"/>
    <mergeCell ref="L20:M20"/>
    <mergeCell ref="L22:M22"/>
    <mergeCell ref="D29:F29"/>
    <mergeCell ref="G29:I29"/>
    <mergeCell ref="J29:K29"/>
    <mergeCell ref="N29:O29"/>
    <mergeCell ref="B46:C46"/>
    <mergeCell ref="B30:C30"/>
    <mergeCell ref="B33:C33"/>
    <mergeCell ref="B39:C39"/>
    <mergeCell ref="B23:C23"/>
    <mergeCell ref="D23:F23"/>
    <mergeCell ref="G23:I23"/>
    <mergeCell ref="J23:K23"/>
    <mergeCell ref="N23:O23"/>
    <mergeCell ref="B26:C26"/>
    <mergeCell ref="B31:C31"/>
    <mergeCell ref="B29:C29"/>
    <mergeCell ref="B28:C28"/>
    <mergeCell ref="B36:C36"/>
    <mergeCell ref="B34:C34"/>
    <mergeCell ref="B24:C24"/>
    <mergeCell ref="D26:F26"/>
    <mergeCell ref="G26:I26"/>
    <mergeCell ref="J26:K26"/>
    <mergeCell ref="N26:O26"/>
    <mergeCell ref="D25:F25"/>
    <mergeCell ref="G25:I25"/>
    <mergeCell ref="J25:K25"/>
    <mergeCell ref="N25:O25"/>
    <mergeCell ref="D28:F28"/>
    <mergeCell ref="G28:I28"/>
    <mergeCell ref="J28:K28"/>
    <mergeCell ref="N28:O28"/>
    <mergeCell ref="B25:C25"/>
    <mergeCell ref="L25:M25"/>
    <mergeCell ref="L26:M26"/>
    <mergeCell ref="L27:M27"/>
    <mergeCell ref="L28:M28"/>
    <mergeCell ref="L29:M29"/>
    <mergeCell ref="D32:F32"/>
    <mergeCell ref="G32:I32"/>
    <mergeCell ref="J32:K32"/>
    <mergeCell ref="N32:O32"/>
    <mergeCell ref="N31:O31"/>
    <mergeCell ref="J31:K31"/>
    <mergeCell ref="G31:I31"/>
    <mergeCell ref="D31:F31"/>
    <mergeCell ref="N30:O30"/>
    <mergeCell ref="J30:K30"/>
    <mergeCell ref="G30:I30"/>
    <mergeCell ref="D30:F30"/>
    <mergeCell ref="L30:M30"/>
    <mergeCell ref="L31:M31"/>
    <mergeCell ref="L32:M32"/>
    <mergeCell ref="D36:F36"/>
    <mergeCell ref="G36:I36"/>
    <mergeCell ref="J36:K36"/>
    <mergeCell ref="N36:O36"/>
    <mergeCell ref="D33:F33"/>
    <mergeCell ref="G33:I33"/>
    <mergeCell ref="J33:K33"/>
    <mergeCell ref="N33:O33"/>
    <mergeCell ref="D34:F34"/>
    <mergeCell ref="G34:I34"/>
    <mergeCell ref="J34:K34"/>
    <mergeCell ref="N34:O34"/>
    <mergeCell ref="D35:F35"/>
    <mergeCell ref="G35:I35"/>
    <mergeCell ref="J35:K35"/>
    <mergeCell ref="N35:O35"/>
    <mergeCell ref="L33:M33"/>
    <mergeCell ref="L34:M34"/>
    <mergeCell ref="L35:M35"/>
    <mergeCell ref="L36:M36"/>
    <mergeCell ref="D37:F37"/>
    <mergeCell ref="G37:I37"/>
    <mergeCell ref="J37:K37"/>
    <mergeCell ref="N37:O37"/>
    <mergeCell ref="D38:F38"/>
    <mergeCell ref="G38:I38"/>
    <mergeCell ref="J38:K38"/>
    <mergeCell ref="N38:O38"/>
    <mergeCell ref="D39:F39"/>
    <mergeCell ref="G39:I39"/>
    <mergeCell ref="J39:K39"/>
    <mergeCell ref="N39:O39"/>
    <mergeCell ref="L37:M37"/>
    <mergeCell ref="L38:M38"/>
    <mergeCell ref="L39:M39"/>
    <mergeCell ref="D45:F45"/>
    <mergeCell ref="G45:I45"/>
    <mergeCell ref="J45:K45"/>
    <mergeCell ref="N45:O45"/>
    <mergeCell ref="D46:F46"/>
    <mergeCell ref="G46:I46"/>
    <mergeCell ref="J46:K46"/>
    <mergeCell ref="N46:O46"/>
    <mergeCell ref="D57:F57"/>
    <mergeCell ref="G57:I57"/>
    <mergeCell ref="J57:K57"/>
    <mergeCell ref="N57:O57"/>
    <mergeCell ref="G47:I47"/>
    <mergeCell ref="J47:K47"/>
    <mergeCell ref="N47:O47"/>
    <mergeCell ref="D49:F49"/>
    <mergeCell ref="G49:I49"/>
    <mergeCell ref="J49:K49"/>
    <mergeCell ref="N49:O49"/>
    <mergeCell ref="L51:M51"/>
    <mergeCell ref="L52:M52"/>
    <mergeCell ref="L53:M53"/>
    <mergeCell ref="L54:M54"/>
    <mergeCell ref="L55:M55"/>
    <mergeCell ref="N59:O59"/>
    <mergeCell ref="D60:F60"/>
    <mergeCell ref="G60:I60"/>
    <mergeCell ref="J60:K60"/>
    <mergeCell ref="N60:O60"/>
    <mergeCell ref="D61:F61"/>
    <mergeCell ref="G61:I61"/>
    <mergeCell ref="J61:K61"/>
    <mergeCell ref="N61:O61"/>
    <mergeCell ref="L59:M59"/>
    <mergeCell ref="L60:M60"/>
    <mergeCell ref="L61:M61"/>
    <mergeCell ref="B68:P68"/>
    <mergeCell ref="B69:P74"/>
    <mergeCell ref="N62:O62"/>
    <mergeCell ref="L62:M62"/>
    <mergeCell ref="L63:M63"/>
    <mergeCell ref="L64:M64"/>
    <mergeCell ref="L65:M65"/>
    <mergeCell ref="L66:M66"/>
    <mergeCell ref="D66:F66"/>
    <mergeCell ref="G66:I66"/>
    <mergeCell ref="J66:K66"/>
    <mergeCell ref="N66:O66"/>
    <mergeCell ref="D65:F65"/>
    <mergeCell ref="G65:I65"/>
    <mergeCell ref="J65:K65"/>
    <mergeCell ref="N65:O65"/>
  </mergeCells>
  <phoneticPr fontId="10" type="noConversion"/>
  <dataValidations count="2">
    <dataValidation type="whole" allowBlank="1" showInputMessage="1" showErrorMessage="1" errorTitle="Whole Number" error="Please input a whole number." sqref="N22:O66" xr:uid="{00000000-0002-0000-0600-000001000000}">
      <formula1>0</formula1>
      <formula2>12</formula2>
    </dataValidation>
    <dataValidation type="decimal" operator="greaterThanOrEqual" allowBlank="1" showInputMessage="1" showErrorMessage="1" errorTitle="Enter Number" error="Please enter a number. You may enter decimals." sqref="G22:I66" xr:uid="{A6DEC1CB-0775-1B48-BFB6-3DE13E5292D5}">
      <formula1>0</formula1>
    </dataValidation>
  </dataValidations>
  <pageMargins left="0.7" right="0.7" top="0.75" bottom="0.75" header="0.3" footer="0.3"/>
  <headerFooter>
    <oddFooter>&amp;R&amp;"-,Bold"&amp;K01+015LIVE Winery Program Greenhouse Gas Emissions Report&amp;"-,Regular"  |  LIVE-XWX-12031401-A0</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Must use drop-down" error="Please use the drop-down menu to select the appropriate refrigerant." xr:uid="{00000000-0002-0000-0600-000003000000}">
          <x14:formula1>
            <xm:f>'Emissions Factors'!$B$80:$B$132</xm:f>
          </x14:formula1>
          <xm:sqref>J22:K66</xm:sqref>
        </x14:dataValidation>
        <x14:dataValidation type="list" allowBlank="1" showInputMessage="1" showErrorMessage="1" xr:uid="{00000000-0002-0000-0600-000004000000}">
          <x14:formula1>
            <xm:f>'Emissions Factors'!$F$79:$F$80</xm:f>
          </x14:formula1>
          <xm:sqref>P22:Q66 L22:M66</xm:sqref>
        </x14:dataValidation>
        <x14:dataValidation type="list" allowBlank="1" showInputMessage="1" showErrorMessage="1" xr:uid="{00000000-0002-0000-0600-000005000000}">
          <x14:formula1>
            <xm:f>'Emissions Factors'!$B$79:$B$132</xm:f>
          </x14:formula1>
          <xm:sqref>B12:B16</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D7D31"/>
  </sheetPr>
  <dimension ref="A1:R53"/>
  <sheetViews>
    <sheetView zoomScale="133" zoomScaleNormal="100" workbookViewId="0">
      <selection activeCell="C13" sqref="C13"/>
    </sheetView>
  </sheetViews>
  <sheetFormatPr baseColWidth="10" defaultRowHeight="14" outlineLevelCol="1" x14ac:dyDescent="0.15"/>
  <cols>
    <col min="1" max="1" width="3.6640625" style="13" customWidth="1"/>
    <col min="2" max="2" width="43.83203125" style="2" customWidth="1"/>
    <col min="3" max="3" width="10.33203125" style="130" customWidth="1"/>
    <col min="4" max="4" width="13.6640625" style="2" customWidth="1"/>
    <col min="5" max="5" width="10.1640625" style="130" customWidth="1"/>
    <col min="6" max="6" width="13.6640625" style="2" customWidth="1"/>
    <col min="7" max="7" width="16.83203125" style="2" customWidth="1"/>
    <col min="8" max="8" width="6" style="2" customWidth="1"/>
    <col min="9" max="9" width="37.1640625" style="2" customWidth="1"/>
    <col min="10" max="10" width="33.83203125" style="2" hidden="1" customWidth="1" outlineLevel="1"/>
    <col min="11" max="11" width="32.83203125" style="2" hidden="1" customWidth="1" outlineLevel="1"/>
    <col min="12" max="12" width="20.5" style="2" hidden="1" customWidth="1" outlineLevel="1"/>
    <col min="13" max="13" width="10.83203125" style="307" collapsed="1"/>
    <col min="14" max="15" width="10.83203125" style="2"/>
    <col min="16" max="16" width="40.1640625" style="2" bestFit="1" customWidth="1"/>
    <col min="17" max="16384" width="10.83203125" style="2"/>
  </cols>
  <sheetData>
    <row r="1" spans="1:14" ht="23" x14ac:dyDescent="0.25">
      <c r="B1" s="122" t="s">
        <v>624</v>
      </c>
      <c r="M1" s="2" t="s">
        <v>892</v>
      </c>
    </row>
    <row r="2" spans="1:14" s="121" customFormat="1" ht="13" x14ac:dyDescent="0.15">
      <c r="A2" s="271"/>
      <c r="B2" s="283"/>
      <c r="C2" s="358"/>
      <c r="D2" s="239"/>
      <c r="E2" s="361"/>
      <c r="F2" s="239"/>
      <c r="M2" s="163"/>
    </row>
    <row r="3" spans="1:14" ht="20" x14ac:dyDescent="0.25">
      <c r="B3" s="259" t="s">
        <v>626</v>
      </c>
      <c r="D3" s="154">
        <f>SUMIF(M17:M40,"&gt;0",M17:M40)</f>
        <v>0</v>
      </c>
      <c r="E3" s="7" t="s">
        <v>497</v>
      </c>
      <c r="F3" s="154"/>
      <c r="G3" s="121"/>
      <c r="J3" s="5"/>
    </row>
    <row r="4" spans="1:14" ht="20" x14ac:dyDescent="0.25">
      <c r="B4" s="259" t="s">
        <v>596</v>
      </c>
      <c r="D4" s="335">
        <f>SUMIF(M17:M40,"&lt;0",M17:M40)</f>
        <v>0</v>
      </c>
      <c r="E4" s="7" t="s">
        <v>497</v>
      </c>
      <c r="F4" s="154"/>
      <c r="G4" s="121"/>
      <c r="J4" s="5"/>
    </row>
    <row r="5" spans="1:14" ht="21" customHeight="1" x14ac:dyDescent="0.2">
      <c r="B5" s="119" t="s">
        <v>633</v>
      </c>
    </row>
    <row r="6" spans="1:14" ht="55" customHeight="1" x14ac:dyDescent="0.15">
      <c r="B6" s="488" t="s">
        <v>853</v>
      </c>
      <c r="C6" s="488"/>
      <c r="D6" s="488"/>
      <c r="E6" s="488"/>
      <c r="F6" s="488"/>
      <c r="G6" s="488"/>
      <c r="H6" s="488"/>
      <c r="I6" s="488"/>
      <c r="J6" s="5"/>
    </row>
    <row r="7" spans="1:14" s="121" customFormat="1" ht="18" x14ac:dyDescent="0.2">
      <c r="A7" s="271"/>
      <c r="B7" s="407" t="s">
        <v>798</v>
      </c>
      <c r="C7" s="274"/>
      <c r="D7" s="140"/>
      <c r="E7" s="359"/>
      <c r="F7" s="154"/>
      <c r="M7" s="163"/>
    </row>
    <row r="8" spans="1:14" s="121" customFormat="1" x14ac:dyDescent="0.15">
      <c r="A8" s="271"/>
      <c r="B8" s="283" t="s">
        <v>414</v>
      </c>
      <c r="C8" s="357"/>
      <c r="D8" s="239" t="s">
        <v>404</v>
      </c>
      <c r="E8" s="360">
        <f>$C$8*2000</f>
        <v>0</v>
      </c>
      <c r="F8" s="239" t="s">
        <v>403</v>
      </c>
      <c r="M8" s="163"/>
    </row>
    <row r="9" spans="1:14" s="121" customFormat="1" x14ac:dyDescent="0.15">
      <c r="A9" s="271"/>
      <c r="B9" s="283" t="s">
        <v>478</v>
      </c>
      <c r="C9" s="357"/>
      <c r="D9" s="239" t="s">
        <v>403</v>
      </c>
      <c r="E9" s="361">
        <f>C9/2000</f>
        <v>0</v>
      </c>
      <c r="F9" s="239" t="s">
        <v>404</v>
      </c>
      <c r="M9" s="163"/>
    </row>
    <row r="10" spans="1:14" s="121" customFormat="1" ht="13" x14ac:dyDescent="0.15">
      <c r="A10" s="271"/>
      <c r="C10" s="274"/>
      <c r="D10" s="140"/>
      <c r="E10" s="274"/>
      <c r="F10" s="140"/>
      <c r="M10" s="163"/>
    </row>
    <row r="11" spans="1:14" ht="18" x14ac:dyDescent="0.2">
      <c r="B11" s="253" t="s">
        <v>603</v>
      </c>
      <c r="C11" s="245"/>
      <c r="D11" s="245"/>
      <c r="E11" s="245"/>
      <c r="F11" s="245"/>
      <c r="G11" s="245"/>
      <c r="H11" s="245"/>
      <c r="I11" s="245"/>
    </row>
    <row r="12" spans="1:14" s="121" customFormat="1" ht="16" x14ac:dyDescent="0.2">
      <c r="A12" s="271"/>
      <c r="B12" s="284" t="s">
        <v>841</v>
      </c>
      <c r="C12" s="11" t="s">
        <v>476</v>
      </c>
      <c r="D12" s="238" t="s">
        <v>85</v>
      </c>
      <c r="E12" s="238" t="s">
        <v>708</v>
      </c>
      <c r="F12" s="238"/>
      <c r="G12" s="339" t="s">
        <v>125</v>
      </c>
      <c r="H12" s="11"/>
      <c r="I12" s="11"/>
      <c r="J12" s="128" t="s">
        <v>769</v>
      </c>
      <c r="K12" s="128" t="s">
        <v>627</v>
      </c>
      <c r="L12" s="128" t="s">
        <v>628</v>
      </c>
      <c r="M12" s="308" t="s">
        <v>548</v>
      </c>
    </row>
    <row r="13" spans="1:14" s="121" customFormat="1" ht="13" x14ac:dyDescent="0.15">
      <c r="A13" s="271"/>
      <c r="B13" s="262" t="str">
        <f>'Emissions Factors'!B375</f>
        <v>Mulch</v>
      </c>
      <c r="C13" s="396"/>
      <c r="D13" s="239" t="s">
        <v>479</v>
      </c>
      <c r="E13" s="396"/>
      <c r="F13" s="239" t="s">
        <v>702</v>
      </c>
      <c r="G13" s="238" t="s">
        <v>838</v>
      </c>
      <c r="H13" s="11"/>
      <c r="J13" s="381">
        <f>E13/100</f>
        <v>0</v>
      </c>
      <c r="K13" s="285">
        <f>'Emissions Factors'!C375</f>
        <v>-0.21</v>
      </c>
      <c r="L13" s="286">
        <f>C13*J13*K13</f>
        <v>0</v>
      </c>
      <c r="M13" s="418">
        <f>L13</f>
        <v>0</v>
      </c>
    </row>
    <row r="14" spans="1:14" s="121" customFormat="1" ht="28" x14ac:dyDescent="0.15">
      <c r="A14" s="271"/>
      <c r="B14" s="388" t="str">
        <f>'Emissions Factors'!B376</f>
        <v>Animal-derived amendments, including animal waste &amp; by-products/manure</v>
      </c>
      <c r="C14" s="396"/>
      <c r="D14" s="239" t="s">
        <v>479</v>
      </c>
      <c r="E14" s="396"/>
      <c r="F14" s="239" t="s">
        <v>702</v>
      </c>
      <c r="G14" s="548" t="s">
        <v>688</v>
      </c>
      <c r="H14" s="548"/>
      <c r="I14" s="548"/>
      <c r="J14" s="381">
        <f>E14/100</f>
        <v>0</v>
      </c>
      <c r="K14" s="285">
        <f>'Emissions Factors'!C376</f>
        <v>-1</v>
      </c>
      <c r="L14" s="286">
        <f>C14*J14*K14</f>
        <v>0</v>
      </c>
      <c r="M14" s="418">
        <f>L14</f>
        <v>0</v>
      </c>
      <c r="N14" s="141"/>
    </row>
    <row r="15" spans="1:14" s="121" customFormat="1" ht="14" customHeight="1" x14ac:dyDescent="0.15">
      <c r="A15" s="271"/>
      <c r="C15" s="358"/>
      <c r="D15" s="239"/>
      <c r="E15" s="362"/>
      <c r="F15" s="239"/>
      <c r="G15" s="548"/>
      <c r="H15" s="548"/>
      <c r="I15" s="548"/>
      <c r="M15" s="418"/>
      <c r="N15" s="141"/>
    </row>
    <row r="16" spans="1:14" s="121" customFormat="1" ht="18" customHeight="1" x14ac:dyDescent="0.2">
      <c r="A16" s="271"/>
      <c r="B16" s="331"/>
      <c r="C16" s="11" t="s">
        <v>476</v>
      </c>
      <c r="E16" s="141" t="s">
        <v>683</v>
      </c>
      <c r="F16" s="141"/>
      <c r="G16" s="238"/>
      <c r="H16" s="11"/>
      <c r="J16" s="345" t="s">
        <v>684</v>
      </c>
      <c r="K16" s="345" t="s">
        <v>685</v>
      </c>
      <c r="L16" s="128" t="s">
        <v>628</v>
      </c>
      <c r="M16" s="418"/>
    </row>
    <row r="17" spans="1:17" s="121" customFormat="1" ht="13" x14ac:dyDescent="0.15">
      <c r="A17" s="271"/>
      <c r="B17" s="262" t="str">
        <f>'Emissions Factors'!B366</f>
        <v>Mixed Compost (plants and/or food)</v>
      </c>
      <c r="C17" s="396"/>
      <c r="E17" s="455"/>
      <c r="F17" s="239"/>
      <c r="G17" s="531" t="s">
        <v>839</v>
      </c>
      <c r="H17" s="531"/>
      <c r="I17" s="531"/>
      <c r="J17" s="344">
        <f>IF(C18='Emissions Factors'!F366,'Emissions Factors'!C367,'Emissions Factors'!D367)</f>
        <v>-0.08</v>
      </c>
      <c r="K17" s="337">
        <f>IF(C18='Emissions Factors'!F366,'Emissions Factors'!C366,'Emissions Factors'!D366)</f>
        <v>-0.16</v>
      </c>
      <c r="L17" s="338">
        <f>IF(E17='Emissions Factors'!G366,C17*K17,C17*J17)</f>
        <v>0</v>
      </c>
      <c r="M17" s="418">
        <f t="shared" ref="M17:M20" si="0">L17</f>
        <v>0</v>
      </c>
    </row>
    <row r="18" spans="1:17" s="121" customFormat="1" ht="13" x14ac:dyDescent="0.15">
      <c r="A18" s="271"/>
      <c r="B18" s="343" t="s">
        <v>690</v>
      </c>
      <c r="C18" s="397"/>
      <c r="E18" s="11"/>
      <c r="F18" s="274"/>
      <c r="G18" s="531"/>
      <c r="H18" s="531"/>
      <c r="I18" s="531"/>
      <c r="M18" s="418"/>
    </row>
    <row r="19" spans="1:17" s="121" customFormat="1" ht="13" x14ac:dyDescent="0.15">
      <c r="A19" s="271"/>
      <c r="B19" s="343"/>
      <c r="C19" s="11"/>
      <c r="E19" s="11"/>
      <c r="F19" s="343"/>
      <c r="G19" s="343"/>
      <c r="H19" s="238"/>
      <c r="M19" s="418"/>
    </row>
    <row r="20" spans="1:17" s="121" customFormat="1" ht="13" x14ac:dyDescent="0.15">
      <c r="A20" s="271"/>
      <c r="B20" s="262" t="str">
        <f>'Emissions Factors'!B382</f>
        <v>Biochar</v>
      </c>
      <c r="C20" s="396"/>
      <c r="D20" s="239" t="s">
        <v>703</v>
      </c>
      <c r="E20" s="362"/>
      <c r="F20" s="239"/>
      <c r="H20" s="11"/>
      <c r="K20" s="337">
        <f>'Emissions Factors'!C383</f>
        <v>-1.2472995022141816E-3</v>
      </c>
      <c r="L20" s="338">
        <f>C20*K20</f>
        <v>0</v>
      </c>
      <c r="M20" s="418">
        <f t="shared" si="0"/>
        <v>0</v>
      </c>
    </row>
    <row r="21" spans="1:17" s="121" customFormat="1" ht="13" x14ac:dyDescent="0.15">
      <c r="A21" s="271"/>
      <c r="C21" s="274"/>
      <c r="E21" s="274"/>
      <c r="M21" s="163"/>
    </row>
    <row r="22" spans="1:17" ht="19" x14ac:dyDescent="0.2">
      <c r="B22" s="263" t="s">
        <v>784</v>
      </c>
      <c r="C22" s="245"/>
      <c r="D22" s="245"/>
      <c r="E22" s="245"/>
      <c r="F22" s="245"/>
      <c r="G22" s="245"/>
      <c r="H22" s="245"/>
      <c r="I22" s="245"/>
      <c r="N22" s="121"/>
    </row>
    <row r="23" spans="1:17" x14ac:dyDescent="0.15">
      <c r="B23" s="13"/>
      <c r="C23" s="13"/>
      <c r="D23" s="13"/>
      <c r="E23" s="13"/>
      <c r="F23" s="13"/>
      <c r="G23" s="13"/>
      <c r="H23" s="13"/>
      <c r="I23" s="13"/>
      <c r="N23" s="121"/>
    </row>
    <row r="24" spans="1:17" ht="94" customHeight="1" x14ac:dyDescent="0.15">
      <c r="B24" s="498" t="s">
        <v>896</v>
      </c>
      <c r="C24" s="498"/>
      <c r="D24" s="498"/>
      <c r="E24" s="498"/>
      <c r="F24" s="498"/>
      <c r="G24" s="498"/>
      <c r="H24" s="498"/>
      <c r="I24" s="498"/>
      <c r="N24" s="121"/>
    </row>
    <row r="25" spans="1:17" x14ac:dyDescent="0.15">
      <c r="B25" s="13"/>
      <c r="C25" s="13"/>
      <c r="D25" s="13"/>
      <c r="E25" s="13"/>
      <c r="F25" s="13"/>
      <c r="G25" s="13"/>
      <c r="H25" s="13"/>
      <c r="I25" s="13"/>
      <c r="N25" s="121"/>
    </row>
    <row r="26" spans="1:17" s="288" customFormat="1" ht="16" x14ac:dyDescent="0.15">
      <c r="A26" s="287"/>
      <c r="B26" s="389" t="s">
        <v>840</v>
      </c>
      <c r="C26" s="268" t="s">
        <v>476</v>
      </c>
      <c r="D26" s="13"/>
      <c r="E26" s="13"/>
      <c r="F26" s="13"/>
      <c r="G26" s="269"/>
      <c r="H26" s="268"/>
      <c r="I26" s="268"/>
      <c r="J26" s="345" t="s">
        <v>770</v>
      </c>
      <c r="K26" s="345" t="s">
        <v>828</v>
      </c>
      <c r="L26" s="345" t="s">
        <v>628</v>
      </c>
      <c r="M26" s="320" t="s">
        <v>548</v>
      </c>
    </row>
    <row r="27" spans="1:17" s="121" customFormat="1" ht="13" x14ac:dyDescent="0.15">
      <c r="A27" s="271"/>
      <c r="B27" s="140" t="str">
        <f>'Emissions Factors'!B389</f>
        <v>Urea</v>
      </c>
      <c r="C27" s="397"/>
      <c r="D27" s="121" t="s">
        <v>712</v>
      </c>
      <c r="E27" s="397"/>
      <c r="F27" s="121" t="s">
        <v>783</v>
      </c>
      <c r="H27" s="397"/>
      <c r="I27" s="121" t="s">
        <v>771</v>
      </c>
      <c r="J27" s="429">
        <f t="shared" ref="J27:J33" si="1">C27*E27*H27</f>
        <v>0</v>
      </c>
      <c r="K27" s="374">
        <f>'Emissions Factors'!D389</f>
        <v>1.7009713874999999E-3</v>
      </c>
      <c r="L27" s="286">
        <f>J27*K27</f>
        <v>0</v>
      </c>
      <c r="M27" s="418">
        <f t="shared" ref="M27:M32" si="2">L27</f>
        <v>0</v>
      </c>
      <c r="O27" s="239"/>
      <c r="P27" s="163"/>
      <c r="Q27" s="238"/>
    </row>
    <row r="28" spans="1:17" s="121" customFormat="1" ht="13" x14ac:dyDescent="0.15">
      <c r="A28" s="271"/>
      <c r="B28" s="262" t="str">
        <f>'Emissions Factors'!B390</f>
        <v>Nitrogen solutions</v>
      </c>
      <c r="C28" s="397"/>
      <c r="D28" s="121" t="s">
        <v>712</v>
      </c>
      <c r="E28" s="397"/>
      <c r="F28" s="121" t="s">
        <v>783</v>
      </c>
      <c r="H28" s="397"/>
      <c r="I28" s="121" t="s">
        <v>771</v>
      </c>
      <c r="J28" s="429">
        <f t="shared" si="1"/>
        <v>0</v>
      </c>
      <c r="K28" s="374">
        <f>'Emissions Factors'!D390</f>
        <v>2.7396979147999998E-3</v>
      </c>
      <c r="L28" s="286">
        <f t="shared" ref="L28:L33" si="3">J28*K28</f>
        <v>0</v>
      </c>
      <c r="M28" s="418">
        <f>L28</f>
        <v>0</v>
      </c>
      <c r="O28" s="239"/>
      <c r="P28" s="163"/>
      <c r="Q28" s="238"/>
    </row>
    <row r="29" spans="1:17" s="121" customFormat="1" ht="13" x14ac:dyDescent="0.15">
      <c r="A29" s="271"/>
      <c r="B29" s="262" t="str">
        <f>'Emissions Factors'!B391</f>
        <v>Anhydrous Ammonia</v>
      </c>
      <c r="C29" s="397"/>
      <c r="D29" s="121" t="s">
        <v>712</v>
      </c>
      <c r="E29" s="397"/>
      <c r="F29" s="121" t="s">
        <v>783</v>
      </c>
      <c r="H29" s="397"/>
      <c r="I29" s="121" t="s">
        <v>771</v>
      </c>
      <c r="J29" s="429">
        <f t="shared" si="1"/>
        <v>0</v>
      </c>
      <c r="K29" s="374">
        <f>'Emissions Factors'!D391</f>
        <v>1.4106722706999999E-3</v>
      </c>
      <c r="L29" s="286">
        <f t="shared" si="3"/>
        <v>0</v>
      </c>
      <c r="M29" s="418">
        <f>L29</f>
        <v>0</v>
      </c>
      <c r="O29" s="239"/>
      <c r="P29" s="163"/>
      <c r="Q29" s="238"/>
    </row>
    <row r="30" spans="1:17" s="121" customFormat="1" ht="13" x14ac:dyDescent="0.15">
      <c r="A30" s="271"/>
      <c r="B30" s="262" t="str">
        <f>'Emissions Factors'!B392</f>
        <v>Ammonium Nitrate</v>
      </c>
      <c r="C30" s="397"/>
      <c r="D30" s="121" t="s">
        <v>712</v>
      </c>
      <c r="E30" s="397"/>
      <c r="F30" s="121" t="s">
        <v>783</v>
      </c>
      <c r="H30" s="397"/>
      <c r="I30" s="121" t="s">
        <v>771</v>
      </c>
      <c r="J30" s="429">
        <f t="shared" si="1"/>
        <v>0</v>
      </c>
      <c r="K30" s="374">
        <f>'Emissions Factors'!D392</f>
        <v>3.7512088998999998E-3</v>
      </c>
      <c r="L30" s="286">
        <f t="shared" si="3"/>
        <v>0</v>
      </c>
      <c r="M30" s="418">
        <f t="shared" si="2"/>
        <v>0</v>
      </c>
      <c r="O30" s="239"/>
      <c r="P30" s="163"/>
      <c r="Q30" s="238"/>
    </row>
    <row r="31" spans="1:17" s="121" customFormat="1" ht="13" x14ac:dyDescent="0.15">
      <c r="A31" s="271"/>
      <c r="B31" s="262" t="str">
        <f>'Emissions Factors'!B393</f>
        <v>Calcium Ammonium Nitrate</v>
      </c>
      <c r="C31" s="397"/>
      <c r="D31" s="121" t="s">
        <v>712</v>
      </c>
      <c r="E31" s="397"/>
      <c r="F31" s="121" t="s">
        <v>783</v>
      </c>
      <c r="H31" s="397"/>
      <c r="I31" s="121" t="s">
        <v>771</v>
      </c>
      <c r="J31" s="429">
        <f t="shared" si="1"/>
        <v>0</v>
      </c>
      <c r="K31" s="374">
        <f>'Emissions Factors'!D393</f>
        <v>3.7693525947000003E-3</v>
      </c>
      <c r="L31" s="286">
        <f t="shared" si="3"/>
        <v>0</v>
      </c>
      <c r="M31" s="418">
        <f t="shared" si="2"/>
        <v>0</v>
      </c>
      <c r="O31" s="239"/>
      <c r="P31" s="163"/>
      <c r="Q31" s="238"/>
    </row>
    <row r="32" spans="1:17" s="121" customFormat="1" ht="13" x14ac:dyDescent="0.15">
      <c r="A32" s="271"/>
      <c r="B32" s="262" t="str">
        <f>'Emissions Factors'!B394</f>
        <v>Ammonium Sulphate</v>
      </c>
      <c r="C32" s="397"/>
      <c r="D32" s="121" t="s">
        <v>712</v>
      </c>
      <c r="E32" s="397"/>
      <c r="F32" s="121" t="s">
        <v>783</v>
      </c>
      <c r="H32" s="397"/>
      <c r="I32" s="121" t="s">
        <v>771</v>
      </c>
      <c r="J32" s="429">
        <f t="shared" si="1"/>
        <v>0</v>
      </c>
      <c r="K32" s="374">
        <f>'Emissions Factors'!D394</f>
        <v>1.088621688E-3</v>
      </c>
      <c r="L32" s="286">
        <f t="shared" si="3"/>
        <v>0</v>
      </c>
      <c r="M32" s="418">
        <f t="shared" si="2"/>
        <v>0</v>
      </c>
      <c r="O32" s="239"/>
      <c r="P32" s="163"/>
      <c r="Q32" s="238"/>
    </row>
    <row r="33" spans="1:18" s="121" customFormat="1" ht="13" x14ac:dyDescent="0.15">
      <c r="A33" s="271"/>
      <c r="B33" s="262" t="str">
        <f>'Emissions Factors'!B395</f>
        <v>Other average Nitrogen</v>
      </c>
      <c r="C33" s="397"/>
      <c r="D33" s="121" t="s">
        <v>712</v>
      </c>
      <c r="E33" s="397"/>
      <c r="F33" s="121" t="s">
        <v>783</v>
      </c>
      <c r="H33" s="397"/>
      <c r="I33" s="121" t="s">
        <v>771</v>
      </c>
      <c r="J33" s="429">
        <f t="shared" si="1"/>
        <v>0</v>
      </c>
      <c r="K33" s="374">
        <f>'Emissions Factors'!D395</f>
        <v>2.4221832557999997E-3</v>
      </c>
      <c r="L33" s="286">
        <f t="shared" si="3"/>
        <v>0</v>
      </c>
      <c r="M33" s="418">
        <f t="shared" ref="M33" si="4">L33</f>
        <v>0</v>
      </c>
      <c r="O33" s="239"/>
      <c r="P33" s="163"/>
      <c r="Q33" s="238"/>
    </row>
    <row r="34" spans="1:18" s="121" customFormat="1" ht="13" x14ac:dyDescent="0.15">
      <c r="A34" s="271"/>
      <c r="B34" s="15"/>
      <c r="C34" s="358"/>
      <c r="E34" s="362"/>
      <c r="H34" s="274"/>
      <c r="J34" s="430"/>
      <c r="M34" s="163"/>
      <c r="O34" s="269"/>
    </row>
    <row r="35" spans="1:18" s="288" customFormat="1" x14ac:dyDescent="0.15">
      <c r="A35" s="287"/>
      <c r="B35" s="389" t="s">
        <v>785</v>
      </c>
      <c r="C35" s="268" t="s">
        <v>476</v>
      </c>
      <c r="D35" s="121"/>
      <c r="E35" s="274"/>
      <c r="H35" s="395"/>
      <c r="J35" s="431"/>
      <c r="M35" s="163"/>
      <c r="O35" s="269"/>
      <c r="P35" s="11"/>
      <c r="Q35" s="268"/>
      <c r="R35" s="268"/>
    </row>
    <row r="36" spans="1:18" s="288" customFormat="1" ht="18" customHeight="1" x14ac:dyDescent="0.15">
      <c r="A36" s="287"/>
      <c r="B36" s="275" t="s">
        <v>829</v>
      </c>
      <c r="C36" s="268"/>
      <c r="D36" s="121"/>
      <c r="E36" s="274"/>
      <c r="H36" s="395"/>
      <c r="J36" s="432" t="s">
        <v>770</v>
      </c>
      <c r="K36" s="345" t="s">
        <v>828</v>
      </c>
      <c r="L36" s="345" t="s">
        <v>628</v>
      </c>
      <c r="M36" s="320" t="s">
        <v>548</v>
      </c>
      <c r="O36" s="269"/>
      <c r="P36" s="11"/>
      <c r="Q36" s="268"/>
      <c r="R36" s="268"/>
    </row>
    <row r="37" spans="1:18" s="121" customFormat="1" ht="13" x14ac:dyDescent="0.15">
      <c r="A37" s="271"/>
      <c r="B37" s="178" t="str">
        <f>'Emissions Factors'!B402</f>
        <v>Average product</v>
      </c>
      <c r="C37" s="397"/>
      <c r="D37" s="121" t="s">
        <v>712</v>
      </c>
      <c r="E37" s="397"/>
      <c r="F37" s="121" t="s">
        <v>794</v>
      </c>
      <c r="H37" s="397"/>
      <c r="I37" s="121" t="s">
        <v>771</v>
      </c>
      <c r="J37" s="429">
        <f>C37*E37*H37</f>
        <v>0</v>
      </c>
      <c r="K37" s="285">
        <f>'Emissions Factors'!D402</f>
        <v>4.1730498040000002E-4</v>
      </c>
      <c r="L37" s="286">
        <f>J37*K37</f>
        <v>0</v>
      </c>
      <c r="M37" s="418">
        <f>L37</f>
        <v>0</v>
      </c>
      <c r="O37" s="239"/>
      <c r="P37" s="11"/>
      <c r="Q37" s="11"/>
    </row>
    <row r="38" spans="1:18" s="121" customFormat="1" ht="13" x14ac:dyDescent="0.15">
      <c r="A38" s="271"/>
      <c r="B38" s="178" t="str">
        <f>'Emissions Factors'!B403</f>
        <v xml:space="preserve">Average herbicide </v>
      </c>
      <c r="C38" s="397"/>
      <c r="D38" s="121" t="s">
        <v>712</v>
      </c>
      <c r="E38" s="397"/>
      <c r="F38" s="121" t="s">
        <v>794</v>
      </c>
      <c r="H38" s="397"/>
      <c r="I38" s="121" t="s">
        <v>771</v>
      </c>
      <c r="J38" s="429">
        <f>C38*E38*H38</f>
        <v>0</v>
      </c>
      <c r="K38" s="285">
        <f>'Emissions Factors'!D403</f>
        <v>4.1503701855000001E-4</v>
      </c>
      <c r="L38" s="286">
        <f t="shared" ref="L38:L40" si="5">J38*K38</f>
        <v>0</v>
      </c>
      <c r="M38" s="418">
        <f t="shared" ref="M38:M40" si="6">L38</f>
        <v>0</v>
      </c>
      <c r="O38" s="239"/>
      <c r="P38" s="11"/>
      <c r="Q38" s="11"/>
    </row>
    <row r="39" spans="1:18" s="121" customFormat="1" ht="13" x14ac:dyDescent="0.15">
      <c r="A39" s="271"/>
      <c r="B39" s="178" t="str">
        <f>'Emissions Factors'!B404</f>
        <v>Average fungicide</v>
      </c>
      <c r="C39" s="397"/>
      <c r="D39" s="121" t="s">
        <v>712</v>
      </c>
      <c r="E39" s="397"/>
      <c r="F39" s="121" t="s">
        <v>794</v>
      </c>
      <c r="H39" s="397"/>
      <c r="I39" s="121" t="s">
        <v>771</v>
      </c>
      <c r="J39" s="429">
        <f>C39*E39*H39</f>
        <v>0</v>
      </c>
      <c r="K39" s="285">
        <f>'Emissions Factors'!D404</f>
        <v>2.7805212281E-4</v>
      </c>
      <c r="L39" s="286">
        <f t="shared" si="5"/>
        <v>0</v>
      </c>
      <c r="M39" s="418">
        <f t="shared" si="6"/>
        <v>0</v>
      </c>
      <c r="O39" s="239"/>
      <c r="P39" s="11"/>
      <c r="Q39" s="11"/>
    </row>
    <row r="40" spans="1:18" s="121" customFormat="1" ht="13" x14ac:dyDescent="0.15">
      <c r="A40" s="271"/>
      <c r="B40" s="178" t="str">
        <f>'Emissions Factors'!B405</f>
        <v>Average insecticide</v>
      </c>
      <c r="C40" s="397"/>
      <c r="D40" s="121" t="s">
        <v>712</v>
      </c>
      <c r="E40" s="397"/>
      <c r="F40" s="121" t="s">
        <v>794</v>
      </c>
      <c r="H40" s="397"/>
      <c r="I40" s="121" t="s">
        <v>771</v>
      </c>
      <c r="J40" s="429">
        <f>C40*E40*H40</f>
        <v>0</v>
      </c>
      <c r="K40" s="285">
        <f>'Emissions Factors'!D405</f>
        <v>1.1566605435E-2</v>
      </c>
      <c r="L40" s="286">
        <f t="shared" si="5"/>
        <v>0</v>
      </c>
      <c r="M40" s="418">
        <f t="shared" si="6"/>
        <v>0</v>
      </c>
      <c r="O40" s="239"/>
      <c r="P40" s="11"/>
      <c r="Q40" s="11"/>
    </row>
    <row r="41" spans="1:18" s="121" customFormat="1" ht="15" customHeight="1" x14ac:dyDescent="0.15">
      <c r="A41" s="271"/>
      <c r="C41" s="274"/>
      <c r="E41" s="274"/>
      <c r="H41" s="274"/>
      <c r="J41" s="257" t="s">
        <v>834</v>
      </c>
      <c r="K41" s="345" t="s">
        <v>837</v>
      </c>
      <c r="L41" s="345" t="s">
        <v>628</v>
      </c>
      <c r="M41" s="418"/>
      <c r="P41" s="11"/>
    </row>
    <row r="42" spans="1:18" s="121" customFormat="1" ht="13" x14ac:dyDescent="0.15">
      <c r="A42" s="271"/>
      <c r="B42" s="178" t="str">
        <f>B37</f>
        <v>Average product</v>
      </c>
      <c r="C42" s="397"/>
      <c r="D42" s="121" t="s">
        <v>712</v>
      </c>
      <c r="E42" s="397"/>
      <c r="F42" s="121" t="s">
        <v>790</v>
      </c>
      <c r="H42" s="397"/>
      <c r="I42" s="121" t="s">
        <v>771</v>
      </c>
      <c r="J42" s="429">
        <f>C42*E42*H42</f>
        <v>0</v>
      </c>
      <c r="K42" s="285">
        <f>'Emissions Factors'!$G$407</f>
        <v>9.7988049147988536E-6</v>
      </c>
      <c r="L42" s="286">
        <f>J42*K42</f>
        <v>0</v>
      </c>
      <c r="M42" s="418">
        <f>L42</f>
        <v>0</v>
      </c>
      <c r="O42" s="239"/>
      <c r="P42" s="11"/>
      <c r="Q42" s="11"/>
    </row>
    <row r="43" spans="1:18" s="121" customFormat="1" ht="13" x14ac:dyDescent="0.15">
      <c r="A43" s="271"/>
      <c r="B43" s="178" t="str">
        <f t="shared" ref="B43:B45" si="7">B38</f>
        <v xml:space="preserve">Average herbicide </v>
      </c>
      <c r="C43" s="397"/>
      <c r="D43" s="121" t="s">
        <v>712</v>
      </c>
      <c r="E43" s="397"/>
      <c r="F43" s="121" t="s">
        <v>790</v>
      </c>
      <c r="H43" s="397"/>
      <c r="I43" s="121" t="s">
        <v>771</v>
      </c>
      <c r="J43" s="429">
        <f>C43*E43*H43</f>
        <v>0</v>
      </c>
      <c r="K43" s="285">
        <f>'Emissions Factors'!$G$407</f>
        <v>9.7988049147988536E-6</v>
      </c>
      <c r="L43" s="286">
        <f t="shared" ref="L43:L45" si="8">J43*K43</f>
        <v>0</v>
      </c>
      <c r="M43" s="418">
        <f t="shared" ref="M43:M45" si="9">L43</f>
        <v>0</v>
      </c>
      <c r="O43" s="239"/>
      <c r="P43" s="11"/>
      <c r="Q43" s="11"/>
    </row>
    <row r="44" spans="1:18" s="121" customFormat="1" ht="13" x14ac:dyDescent="0.15">
      <c r="A44" s="271"/>
      <c r="B44" s="178" t="str">
        <f t="shared" si="7"/>
        <v>Average fungicide</v>
      </c>
      <c r="C44" s="397"/>
      <c r="D44" s="121" t="s">
        <v>712</v>
      </c>
      <c r="E44" s="397"/>
      <c r="F44" s="121" t="s">
        <v>790</v>
      </c>
      <c r="H44" s="397"/>
      <c r="I44" s="121" t="s">
        <v>771</v>
      </c>
      <c r="J44" s="429">
        <f>C44*E44*H44</f>
        <v>0</v>
      </c>
      <c r="K44" s="285">
        <f>'Emissions Factors'!$G$407</f>
        <v>9.7988049147988536E-6</v>
      </c>
      <c r="L44" s="286">
        <f t="shared" si="8"/>
        <v>0</v>
      </c>
      <c r="M44" s="418">
        <f t="shared" si="9"/>
        <v>0</v>
      </c>
      <c r="O44" s="239"/>
      <c r="P44" s="11"/>
      <c r="Q44" s="11"/>
    </row>
    <row r="45" spans="1:18" s="121" customFormat="1" ht="13" x14ac:dyDescent="0.15">
      <c r="A45" s="271"/>
      <c r="B45" s="178" t="str">
        <f t="shared" si="7"/>
        <v>Average insecticide</v>
      </c>
      <c r="C45" s="397"/>
      <c r="D45" s="121" t="s">
        <v>712</v>
      </c>
      <c r="E45" s="397"/>
      <c r="F45" s="121" t="s">
        <v>790</v>
      </c>
      <c r="H45" s="397"/>
      <c r="I45" s="121" t="s">
        <v>771</v>
      </c>
      <c r="J45" s="429">
        <f>C45*E45*H45</f>
        <v>0</v>
      </c>
      <c r="K45" s="285">
        <f>'Emissions Factors'!$G$407</f>
        <v>9.7988049147988536E-6</v>
      </c>
      <c r="L45" s="286">
        <f t="shared" si="8"/>
        <v>0</v>
      </c>
      <c r="M45" s="418">
        <f t="shared" si="9"/>
        <v>0</v>
      </c>
      <c r="O45" s="239"/>
      <c r="P45" s="11"/>
      <c r="Q45" s="11"/>
    </row>
    <row r="46" spans="1:18" s="121" customFormat="1" ht="13" x14ac:dyDescent="0.15">
      <c r="A46" s="271"/>
      <c r="C46" s="274"/>
      <c r="E46" s="274"/>
      <c r="M46" s="163"/>
      <c r="P46" s="11"/>
    </row>
    <row r="47" spans="1:18" ht="18" x14ac:dyDescent="0.2">
      <c r="B47" s="538" t="s">
        <v>125</v>
      </c>
      <c r="C47" s="538"/>
      <c r="D47" s="538"/>
      <c r="E47" s="538"/>
      <c r="F47" s="538"/>
      <c r="G47" s="538"/>
      <c r="H47" s="538"/>
      <c r="I47" s="538"/>
    </row>
    <row r="48" spans="1:18" ht="15" x14ac:dyDescent="0.2">
      <c r="B48" s="539"/>
      <c r="C48" s="540"/>
      <c r="D48" s="540"/>
      <c r="E48" s="540"/>
      <c r="F48" s="540"/>
      <c r="G48" s="540"/>
      <c r="H48" s="540"/>
      <c r="I48" s="541"/>
      <c r="N48"/>
    </row>
    <row r="49" spans="2:9" x14ac:dyDescent="0.15">
      <c r="B49" s="542"/>
      <c r="C49" s="543"/>
      <c r="D49" s="543"/>
      <c r="E49" s="543"/>
      <c r="F49" s="543"/>
      <c r="G49" s="543"/>
      <c r="H49" s="543"/>
      <c r="I49" s="544"/>
    </row>
    <row r="50" spans="2:9" x14ac:dyDescent="0.15">
      <c r="B50" s="542"/>
      <c r="C50" s="543"/>
      <c r="D50" s="543"/>
      <c r="E50" s="543"/>
      <c r="F50" s="543"/>
      <c r="G50" s="543"/>
      <c r="H50" s="543"/>
      <c r="I50" s="544"/>
    </row>
    <row r="51" spans="2:9" x14ac:dyDescent="0.15">
      <c r="B51" s="542"/>
      <c r="C51" s="543"/>
      <c r="D51" s="543"/>
      <c r="E51" s="543"/>
      <c r="F51" s="543"/>
      <c r="G51" s="543"/>
      <c r="H51" s="543"/>
      <c r="I51" s="544"/>
    </row>
    <row r="52" spans="2:9" x14ac:dyDescent="0.15">
      <c r="B52" s="542"/>
      <c r="C52" s="543"/>
      <c r="D52" s="543"/>
      <c r="E52" s="543"/>
      <c r="F52" s="543"/>
      <c r="G52" s="543"/>
      <c r="H52" s="543"/>
      <c r="I52" s="544"/>
    </row>
    <row r="53" spans="2:9" x14ac:dyDescent="0.15">
      <c r="B53" s="545"/>
      <c r="C53" s="546"/>
      <c r="D53" s="546"/>
      <c r="E53" s="546"/>
      <c r="F53" s="546"/>
      <c r="G53" s="546"/>
      <c r="H53" s="546"/>
      <c r="I53" s="547"/>
    </row>
  </sheetData>
  <sheetProtection algorithmName="SHA-512" hashValue="mna3IJQBrRKwhDy2ol0AQ0zITTzb9DGufvGn+Z8sDEQc/R2KgShEVU1e0aLRu4wWQe7biMNa/NgYRn0ej5vFeA==" saltValue="g19k9uk48Ah5yUvgswdOAw==" spinCount="100000" sheet="1" objects="1" scenarios="1"/>
  <mergeCells count="6">
    <mergeCell ref="B6:I6"/>
    <mergeCell ref="B47:I47"/>
    <mergeCell ref="B48:I53"/>
    <mergeCell ref="G14:I15"/>
    <mergeCell ref="B24:I24"/>
    <mergeCell ref="G17:I18"/>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'Emissions Factors'!$F$366:$F$367</xm:f>
          </x14:formula1>
          <xm:sqref>C18</xm:sqref>
        </x14:dataValidation>
        <x14:dataValidation type="list" allowBlank="1" showInputMessage="1" showErrorMessage="1" xr:uid="{8E38DBD8-9436-9548-8AFD-C25748D98FA1}">
          <x14:formula1>
            <xm:f>'Emissions Factors'!$G$366:$G$367</xm:f>
          </x14:formula1>
          <xm:sqref>E17</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D7D31"/>
  </sheetPr>
  <dimension ref="A1:Y62"/>
  <sheetViews>
    <sheetView zoomScale="138" zoomScaleNormal="100" zoomScalePageLayoutView="200" workbookViewId="0">
      <selection activeCell="E13" sqref="E13"/>
    </sheetView>
  </sheetViews>
  <sheetFormatPr baseColWidth="10" defaultRowHeight="14" outlineLevelCol="1" x14ac:dyDescent="0.15"/>
  <cols>
    <col min="1" max="1" width="3.1640625" style="2" customWidth="1"/>
    <col min="2" max="2" width="10.1640625" style="2" customWidth="1"/>
    <col min="3" max="3" width="69.33203125" style="2" customWidth="1"/>
    <col min="4" max="4" width="13.83203125" style="2" customWidth="1"/>
    <col min="5" max="5" width="11.6640625" style="2" bestFit="1" customWidth="1"/>
    <col min="6" max="6" width="3.1640625" style="2" customWidth="1"/>
    <col min="7" max="7" width="5.1640625" style="2" customWidth="1"/>
    <col min="8" max="8" width="6.33203125" style="2" hidden="1" customWidth="1" outlineLevel="1"/>
    <col min="9" max="9" width="10.83203125" style="2" hidden="1" customWidth="1" outlineLevel="1"/>
    <col min="10" max="10" width="33.6640625" style="2" hidden="1" customWidth="1" outlineLevel="1"/>
    <col min="11" max="11" width="38" style="2" hidden="1" customWidth="1" outlineLevel="1"/>
    <col min="12" max="12" width="10.83203125" style="2" hidden="1" customWidth="1" outlineLevel="1"/>
    <col min="13" max="13" width="12" style="157" customWidth="1" collapsed="1"/>
    <col min="14" max="15" width="10.83203125" style="2"/>
    <col min="16" max="16" width="18.6640625" style="2" bestFit="1" customWidth="1"/>
    <col min="17" max="22" width="10.83203125" style="2"/>
    <col min="23" max="23" width="34.6640625" style="2" bestFit="1" customWidth="1"/>
    <col min="24" max="16384" width="10.83203125" style="2"/>
  </cols>
  <sheetData>
    <row r="1" spans="1:25" ht="23" x14ac:dyDescent="0.25">
      <c r="A1" s="13"/>
      <c r="B1" s="122" t="s">
        <v>480</v>
      </c>
      <c r="C1" s="122"/>
      <c r="O1" s="13"/>
      <c r="P1" s="3"/>
      <c r="Q1" s="4"/>
    </row>
    <row r="2" spans="1:25" ht="11" customHeight="1" x14ac:dyDescent="0.25">
      <c r="A2" s="13"/>
      <c r="B2" s="122"/>
      <c r="C2" s="122"/>
      <c r="O2" s="13"/>
      <c r="P2" s="3"/>
      <c r="Q2" s="4"/>
    </row>
    <row r="3" spans="1:25" ht="20" x14ac:dyDescent="0.25">
      <c r="A3" s="13"/>
      <c r="B3" s="259" t="s">
        <v>626</v>
      </c>
      <c r="C3" s="259"/>
      <c r="D3" s="154">
        <f>SUMIF(K22:K39,"&gt;0",K22:K39)</f>
        <v>0</v>
      </c>
      <c r="E3" s="7" t="s">
        <v>497</v>
      </c>
      <c r="F3" s="7"/>
      <c r="G3" s="241"/>
      <c r="H3" s="241"/>
      <c r="I3" s="241"/>
      <c r="J3" s="5"/>
      <c r="Y3" s="9"/>
    </row>
    <row r="4" spans="1:25" ht="20" x14ac:dyDescent="0.25">
      <c r="A4" s="13"/>
      <c r="B4" s="259" t="s">
        <v>596</v>
      </c>
      <c r="C4" s="259"/>
      <c r="D4" s="154">
        <f>SUMIF(K22:K39,"&lt;0",K22:K39)</f>
        <v>0</v>
      </c>
      <c r="E4" s="7" t="s">
        <v>497</v>
      </c>
      <c r="F4" s="7"/>
      <c r="G4" s="241"/>
      <c r="H4" s="241"/>
      <c r="I4" s="241"/>
      <c r="J4" s="5"/>
      <c r="Y4" s="9"/>
    </row>
    <row r="5" spans="1:25" ht="23" customHeight="1" x14ac:dyDescent="0.2">
      <c r="A5" s="13"/>
      <c r="B5" s="119" t="s">
        <v>198</v>
      </c>
      <c r="C5" s="119"/>
      <c r="Q5" s="9"/>
      <c r="R5" s="239"/>
    </row>
    <row r="6" spans="1:25" ht="81" customHeight="1" x14ac:dyDescent="0.15">
      <c r="A6" s="13"/>
      <c r="B6" s="535" t="s">
        <v>852</v>
      </c>
      <c r="C6" s="535"/>
      <c r="D6" s="549"/>
      <c r="E6" s="549"/>
      <c r="F6" s="549"/>
      <c r="G6" s="549"/>
      <c r="H6" s="549"/>
      <c r="I6" s="549"/>
      <c r="J6" s="5"/>
      <c r="Y6" s="9"/>
    </row>
    <row r="7" spans="1:25" x14ac:dyDescent="0.15">
      <c r="A7" s="240"/>
      <c r="B7" s="380" t="s">
        <v>760</v>
      </c>
      <c r="C7" s="203"/>
      <c r="D7" s="11"/>
      <c r="E7" s="11"/>
      <c r="F7" s="11"/>
      <c r="G7" s="11"/>
      <c r="H7" s="11"/>
      <c r="J7" s="5"/>
    </row>
    <row r="8" spans="1:25" ht="16" x14ac:dyDescent="0.2">
      <c r="A8" s="240"/>
      <c r="B8" s="203" t="s">
        <v>649</v>
      </c>
      <c r="C8" s="379" t="s">
        <v>581</v>
      </c>
      <c r="D8" s="11"/>
      <c r="E8" s="11"/>
      <c r="F8" s="11"/>
      <c r="G8" s="11"/>
      <c r="H8" s="11"/>
    </row>
    <row r="9" spans="1:25" ht="16" x14ac:dyDescent="0.2">
      <c r="A9" s="240"/>
      <c r="B9" s="203" t="s">
        <v>761</v>
      </c>
      <c r="C9" s="379" t="s">
        <v>762</v>
      </c>
      <c r="D9" s="11"/>
      <c r="E9" s="11"/>
      <c r="F9" s="11"/>
      <c r="G9" s="11"/>
      <c r="H9" s="11"/>
    </row>
    <row r="10" spans="1:25" x14ac:dyDescent="0.15">
      <c r="E10" s="3"/>
      <c r="F10" s="3"/>
      <c r="G10" s="3"/>
    </row>
    <row r="11" spans="1:25" ht="18" x14ac:dyDescent="0.2">
      <c r="B11" s="272" t="s">
        <v>650</v>
      </c>
      <c r="C11" s="327"/>
      <c r="D11" s="327"/>
      <c r="E11" s="328"/>
      <c r="F11" s="328"/>
      <c r="G11" s="328"/>
      <c r="J11" s="14" t="s">
        <v>594</v>
      </c>
      <c r="K11" s="2" t="s">
        <v>654</v>
      </c>
    </row>
    <row r="12" spans="1:25" ht="4" customHeight="1" x14ac:dyDescent="0.15">
      <c r="E12" s="3"/>
      <c r="F12" s="3"/>
      <c r="G12" s="3"/>
      <c r="J12" s="14"/>
    </row>
    <row r="13" spans="1:25" ht="16" x14ac:dyDescent="0.2">
      <c r="B13" s="14"/>
      <c r="C13" s="118"/>
      <c r="D13" s="439" t="s">
        <v>486</v>
      </c>
      <c r="E13" s="397"/>
      <c r="G13" s="3"/>
      <c r="J13" s="286">
        <f>E13</f>
        <v>0</v>
      </c>
      <c r="K13" s="2" t="s">
        <v>653</v>
      </c>
    </row>
    <row r="14" spans="1:25" x14ac:dyDescent="0.15">
      <c r="E14" s="3"/>
      <c r="F14" s="3"/>
      <c r="G14" s="3"/>
      <c r="J14" s="14"/>
      <c r="K14" s="2" t="s">
        <v>498</v>
      </c>
    </row>
    <row r="15" spans="1:25" x14ac:dyDescent="0.15">
      <c r="C15" s="329" t="s">
        <v>651</v>
      </c>
      <c r="D15" s="329" t="s">
        <v>652</v>
      </c>
      <c r="E15" s="3"/>
      <c r="F15" s="3"/>
      <c r="G15" s="3"/>
      <c r="J15" s="14"/>
    </row>
    <row r="16" spans="1:25" x14ac:dyDescent="0.15">
      <c r="C16" s="14" t="s">
        <v>460</v>
      </c>
      <c r="D16" s="14" t="s">
        <v>461</v>
      </c>
      <c r="E16" s="3"/>
      <c r="F16" s="3"/>
      <c r="G16" s="3"/>
      <c r="J16" s="14"/>
    </row>
    <row r="17" spans="1:20" x14ac:dyDescent="0.15">
      <c r="C17" s="14" t="s">
        <v>462</v>
      </c>
      <c r="D17" s="14" t="s">
        <v>463</v>
      </c>
      <c r="E17" s="3"/>
      <c r="F17" s="3"/>
      <c r="G17" s="3"/>
      <c r="J17" s="14"/>
    </row>
    <row r="18" spans="1:20" x14ac:dyDescent="0.15">
      <c r="C18" s="14" t="s">
        <v>464</v>
      </c>
      <c r="D18" s="14" t="s">
        <v>466</v>
      </c>
      <c r="E18" s="3"/>
      <c r="F18" s="3"/>
      <c r="G18" s="3"/>
      <c r="J18" s="14"/>
    </row>
    <row r="19" spans="1:20" x14ac:dyDescent="0.15">
      <c r="C19" s="14" t="s">
        <v>465</v>
      </c>
      <c r="D19" s="14" t="s">
        <v>655</v>
      </c>
      <c r="E19" s="3"/>
      <c r="F19" s="3"/>
      <c r="G19" s="3"/>
      <c r="J19" s="14"/>
    </row>
    <row r="20" spans="1:20" s="121" customFormat="1" x14ac:dyDescent="0.15">
      <c r="C20" s="14" t="s">
        <v>470</v>
      </c>
      <c r="D20" s="14" t="s">
        <v>469</v>
      </c>
      <c r="G20" s="239"/>
      <c r="M20" s="277"/>
      <c r="O20" s="2"/>
      <c r="S20" s="2"/>
      <c r="T20" s="2"/>
    </row>
    <row r="21" spans="1:20" s="121" customFormat="1" x14ac:dyDescent="0.15">
      <c r="C21" s="141"/>
      <c r="D21" s="141"/>
      <c r="M21" s="2" t="s">
        <v>892</v>
      </c>
      <c r="S21" s="2"/>
      <c r="T21" s="2"/>
    </row>
    <row r="22" spans="1:20" s="121" customFormat="1" ht="13" x14ac:dyDescent="0.15">
      <c r="B22" s="166"/>
      <c r="C22" s="166"/>
      <c r="G22" s="239"/>
      <c r="K22" s="290"/>
      <c r="M22" s="277"/>
    </row>
    <row r="23" spans="1:20" ht="18" x14ac:dyDescent="0.2">
      <c r="B23" s="272" t="s">
        <v>630</v>
      </c>
      <c r="C23" s="272"/>
      <c r="D23" s="244"/>
      <c r="E23" s="244"/>
      <c r="F23" s="244"/>
      <c r="G23" s="244"/>
      <c r="J23" s="121"/>
      <c r="K23" s="243"/>
      <c r="M23" s="277"/>
    </row>
    <row r="24" spans="1:20" s="121" customFormat="1" ht="19" customHeight="1" x14ac:dyDescent="0.2">
      <c r="B24" s="425" t="s">
        <v>820</v>
      </c>
      <c r="C24" s="166"/>
      <c r="E24" s="294"/>
      <c r="F24" s="294"/>
      <c r="J24" s="141" t="s">
        <v>825</v>
      </c>
      <c r="K24" s="291" t="s">
        <v>629</v>
      </c>
      <c r="M24" s="309" t="s">
        <v>548</v>
      </c>
    </row>
    <row r="25" spans="1:20" s="121" customFormat="1" x14ac:dyDescent="0.15">
      <c r="B25" s="140"/>
      <c r="C25" s="121" t="s">
        <v>590</v>
      </c>
      <c r="E25" s="454"/>
      <c r="G25" s="239" t="s">
        <v>479</v>
      </c>
      <c r="J25" s="305">
        <f>IF($J$13="Dry",'Emissions Factors'!C445,'Emissions Factors'!D445)</f>
        <v>0</v>
      </c>
      <c r="K25" s="292">
        <f>IF($W$28="Dry",E25*'Emissions Factors'!C445,E25*'Emissions Factors'!D445)</f>
        <v>0</v>
      </c>
      <c r="M25" s="418">
        <f>K25</f>
        <v>0</v>
      </c>
    </row>
    <row r="26" spans="1:20" s="121" customFormat="1" x14ac:dyDescent="0.15">
      <c r="B26" s="140"/>
      <c r="C26" s="121" t="s">
        <v>821</v>
      </c>
      <c r="E26" s="453"/>
      <c r="G26" s="239" t="s">
        <v>479</v>
      </c>
      <c r="J26" s="305">
        <f>IF($J$13="Dry",'Emissions Factors'!C446,'Emissions Factors'!D446)</f>
        <v>0.10999999999999999</v>
      </c>
      <c r="K26" s="292">
        <f>IF($W$28="Dry",E26*'Emissions Factors'!C446,E26*'Emissions Factors'!D446)</f>
        <v>0</v>
      </c>
      <c r="M26" s="418">
        <f>K26</f>
        <v>0</v>
      </c>
    </row>
    <row r="27" spans="1:20" s="121" customFormat="1" x14ac:dyDescent="0.15">
      <c r="B27" s="140"/>
      <c r="C27" s="121" t="s">
        <v>873</v>
      </c>
      <c r="E27" s="453"/>
      <c r="G27" s="239" t="s">
        <v>479</v>
      </c>
      <c r="J27" s="305">
        <f>IF($J$13="Dry",'Emissions Factors'!C447,'Emissions Factors'!D447)</f>
        <v>0.31</v>
      </c>
      <c r="K27" s="292">
        <f>IF($W$28="Dry",E27*'Emissions Factors'!C447,E27*'Emissions Factors'!D447)</f>
        <v>0</v>
      </c>
      <c r="M27" s="418">
        <f>K27</f>
        <v>0</v>
      </c>
    </row>
    <row r="28" spans="1:20" s="121" customFormat="1" ht="13" x14ac:dyDescent="0.15">
      <c r="B28" s="140"/>
      <c r="C28" s="166"/>
      <c r="E28" s="295">
        <f>SUM(E25:E27)</f>
        <v>0</v>
      </c>
      <c r="F28" s="294"/>
      <c r="G28" s="239" t="s">
        <v>479</v>
      </c>
      <c r="K28" s="290"/>
      <c r="M28" s="277"/>
    </row>
    <row r="29" spans="1:20" s="121" customFormat="1" ht="13" x14ac:dyDescent="0.15">
      <c r="B29" s="166"/>
      <c r="C29" s="166"/>
      <c r="G29" s="239"/>
      <c r="K29" s="290"/>
      <c r="M29" s="277"/>
    </row>
    <row r="30" spans="1:20" ht="18" x14ac:dyDescent="0.2">
      <c r="B30" s="272" t="s">
        <v>767</v>
      </c>
      <c r="C30" s="272"/>
      <c r="D30" s="244"/>
      <c r="E30" s="244"/>
      <c r="F30" s="244"/>
      <c r="G30" s="244"/>
      <c r="K30" s="247"/>
      <c r="M30" s="309" t="s">
        <v>548</v>
      </c>
    </row>
    <row r="31" spans="1:20" s="121" customFormat="1" ht="60" customHeight="1" x14ac:dyDescent="0.2">
      <c r="B31" s="552" t="s">
        <v>824</v>
      </c>
      <c r="C31" s="552"/>
      <c r="D31" s="552"/>
      <c r="E31" s="552"/>
      <c r="F31" s="552"/>
      <c r="G31" s="552"/>
      <c r="J31" s="141" t="s">
        <v>825</v>
      </c>
      <c r="K31" s="291" t="s">
        <v>826</v>
      </c>
      <c r="M31" s="309"/>
    </row>
    <row r="32" spans="1:20" s="121" customFormat="1" x14ac:dyDescent="0.15">
      <c r="A32" s="203"/>
      <c r="B32" s="203"/>
      <c r="C32" s="300" t="str">
        <f>'Emissions Factors'!B449</f>
        <v>From no cover crop to seasonal cover crop</v>
      </c>
      <c r="D32" s="306"/>
      <c r="E32" s="453"/>
      <c r="G32" s="239" t="s">
        <v>479</v>
      </c>
      <c r="H32" s="11"/>
      <c r="J32" s="305">
        <f>IF($J$13="Dry",'Emissions Factors'!C449,'Emissions Factors'!D449)</f>
        <v>-0.37</v>
      </c>
      <c r="K32" s="292">
        <f>E32*J32</f>
        <v>0</v>
      </c>
      <c r="M32" s="418">
        <f t="shared" ref="M32:M39" si="0">K32</f>
        <v>0</v>
      </c>
    </row>
    <row r="33" spans="1:15" s="121" customFormat="1" x14ac:dyDescent="0.15">
      <c r="A33" s="203"/>
      <c r="B33" s="203"/>
      <c r="C33" s="300" t="str">
        <f>'Emissions Factors'!B450</f>
        <v>From no cover crop to 50% cover seasonal crop or between rows</v>
      </c>
      <c r="D33" s="306"/>
      <c r="E33" s="453"/>
      <c r="G33" s="239" t="s">
        <v>479</v>
      </c>
      <c r="H33" s="11"/>
      <c r="J33" s="305">
        <f>IF($J$13="Dry",'Emissions Factors'!C450,'Emissions Factors'!D450)</f>
        <v>-0.185</v>
      </c>
      <c r="K33" s="292">
        <f>E33*J33</f>
        <v>0</v>
      </c>
      <c r="M33" s="418">
        <f t="shared" si="0"/>
        <v>0</v>
      </c>
    </row>
    <row r="34" spans="1:15" s="121" customFormat="1" x14ac:dyDescent="0.15">
      <c r="A34" s="203"/>
      <c r="B34" s="203"/>
      <c r="C34" s="300" t="str">
        <f>'Emissions Factors'!B451</f>
        <v>From cropland to pasture or hay</v>
      </c>
      <c r="D34" s="306"/>
      <c r="E34" s="453"/>
      <c r="G34" s="239" t="s">
        <v>479</v>
      </c>
      <c r="H34" s="11"/>
      <c r="J34" s="305">
        <f>IF($J$13="Dry",'Emissions Factors'!C451,'Emissions Factors'!D451)</f>
        <v>-0.37</v>
      </c>
      <c r="K34" s="292">
        <f t="shared" ref="K34:K39" si="1">E34*J34</f>
        <v>0</v>
      </c>
      <c r="M34" s="418">
        <f t="shared" si="0"/>
        <v>0</v>
      </c>
    </row>
    <row r="35" spans="1:15" s="121" customFormat="1" x14ac:dyDescent="0.15">
      <c r="A35" s="203"/>
      <c r="C35" s="300" t="str">
        <f>'Emissions Factors'!B452</f>
        <v>From cropland to permanent vegetative cover, barriers, or buffers (ecological protection zone)</v>
      </c>
      <c r="D35" s="306"/>
      <c r="E35" s="453"/>
      <c r="G35" s="239" t="s">
        <v>479</v>
      </c>
      <c r="H35" s="11"/>
      <c r="J35" s="305">
        <f>IF($J$13="Dry",'Emissions Factors'!C452,'Emissions Factors'!D452)</f>
        <v>-1.26</v>
      </c>
      <c r="K35" s="292">
        <f t="shared" si="1"/>
        <v>0</v>
      </c>
      <c r="M35" s="418">
        <f t="shared" si="0"/>
        <v>0</v>
      </c>
    </row>
    <row r="36" spans="1:15" s="121" customFormat="1" x14ac:dyDescent="0.15">
      <c r="A36" s="203"/>
      <c r="C36" s="300" t="str">
        <f>'Emissions Factors'!B453</f>
        <v>From trees and shrubs to cropland - debris is composted, chipped, or repurposed</v>
      </c>
      <c r="D36" s="178"/>
      <c r="E36" s="453"/>
      <c r="G36" s="239" t="s">
        <v>479</v>
      </c>
      <c r="H36" s="11"/>
      <c r="J36" s="305">
        <f>IF($J$13="Dry",'Emissions Factors'!C453,'Emissions Factors'!D453)</f>
        <v>2.2599999999999998</v>
      </c>
      <c r="K36" s="292">
        <f t="shared" si="1"/>
        <v>0</v>
      </c>
      <c r="M36" s="418">
        <f t="shared" si="0"/>
        <v>0</v>
      </c>
    </row>
    <row r="37" spans="1:15" s="121" customFormat="1" x14ac:dyDescent="0.15">
      <c r="A37" s="203"/>
      <c r="C37" s="300" t="str">
        <f>'Emissions Factors'!B454</f>
        <v>From trees and shrubs to cropland - debris is burned</v>
      </c>
      <c r="D37" s="178"/>
      <c r="E37" s="453"/>
      <c r="G37" s="239" t="s">
        <v>479</v>
      </c>
      <c r="H37" s="11"/>
      <c r="J37" s="305">
        <f>IF($J$13="Dry",'Emissions Factors'!C454,'Emissions Factors'!D454)</f>
        <v>45.199999999999996</v>
      </c>
      <c r="K37" s="292">
        <f t="shared" si="1"/>
        <v>0</v>
      </c>
      <c r="M37" s="418">
        <f t="shared" si="0"/>
        <v>0</v>
      </c>
    </row>
    <row r="38" spans="1:15" s="121" customFormat="1" x14ac:dyDescent="0.15">
      <c r="A38" s="203"/>
      <c r="C38" s="300" t="str">
        <f>'Emissions Factors'!B455</f>
        <v>From permanent vegetative cover to cropland - debris is composted, chipped, or repurposed</v>
      </c>
      <c r="D38" s="178"/>
      <c r="E38" s="453"/>
      <c r="G38" s="239" t="s">
        <v>479</v>
      </c>
      <c r="H38" s="11"/>
      <c r="J38" s="305">
        <f>IF($J$13="Dry",'Emissions Factors'!C455,'Emissions Factors'!D455)</f>
        <v>1.26</v>
      </c>
      <c r="K38" s="292">
        <f t="shared" si="1"/>
        <v>0</v>
      </c>
      <c r="M38" s="418">
        <f t="shared" si="0"/>
        <v>0</v>
      </c>
    </row>
    <row r="39" spans="1:15" s="121" customFormat="1" x14ac:dyDescent="0.15">
      <c r="A39" s="203"/>
      <c r="C39" s="300" t="str">
        <f>'Emissions Factors'!B456</f>
        <v>From permanent vegetative cover to cropland - debris is burned</v>
      </c>
      <c r="D39" s="178"/>
      <c r="E39" s="453"/>
      <c r="G39" s="239" t="s">
        <v>479</v>
      </c>
      <c r="H39" s="11"/>
      <c r="J39" s="305">
        <f>IF($J$13="Dry",'Emissions Factors'!C456,'Emissions Factors'!D456)</f>
        <v>25.2</v>
      </c>
      <c r="K39" s="292">
        <f t="shared" si="1"/>
        <v>0</v>
      </c>
      <c r="M39" s="418">
        <f t="shared" si="0"/>
        <v>0</v>
      </c>
    </row>
    <row r="40" spans="1:15" s="121" customFormat="1" x14ac:dyDescent="0.15">
      <c r="A40" s="203"/>
      <c r="B40" s="203"/>
      <c r="C40" s="203"/>
      <c r="D40" s="11"/>
      <c r="E40" s="293">
        <f>SUM(E32:E39)</f>
        <v>0</v>
      </c>
      <c r="F40" s="330"/>
      <c r="G40" s="239" t="s">
        <v>479</v>
      </c>
      <c r="H40" s="11"/>
      <c r="J40" s="2"/>
      <c r="L40" s="290"/>
      <c r="M40" s="277"/>
    </row>
    <row r="41" spans="1:15" s="121" customFormat="1" ht="13" x14ac:dyDescent="0.15">
      <c r="M41" s="277"/>
    </row>
    <row r="42" spans="1:15" ht="18" x14ac:dyDescent="0.2">
      <c r="B42" s="333" t="s">
        <v>660</v>
      </c>
      <c r="C42" s="272"/>
      <c r="D42" s="244"/>
      <c r="E42" s="244"/>
      <c r="F42" s="244"/>
      <c r="G42" s="244"/>
      <c r="J42" s="246"/>
      <c r="K42" s="246"/>
      <c r="M42" s="277"/>
      <c r="O42" s="121"/>
    </row>
    <row r="43" spans="1:15" x14ac:dyDescent="0.15">
      <c r="B43" s="551" t="s">
        <v>661</v>
      </c>
      <c r="C43" s="551"/>
      <c r="D43" s="551"/>
      <c r="E43" s="551"/>
      <c r="F43" s="551"/>
      <c r="G43" s="551"/>
      <c r="J43" s="246"/>
      <c r="K43" s="246"/>
      <c r="M43" s="277"/>
      <c r="O43" s="121"/>
    </row>
    <row r="44" spans="1:15" ht="16" x14ac:dyDescent="0.2">
      <c r="B44" s="550" t="s">
        <v>787</v>
      </c>
      <c r="C44" s="550"/>
      <c r="D44" s="550"/>
      <c r="E44" s="550"/>
      <c r="F44" s="550"/>
      <c r="G44" s="550"/>
      <c r="J44" s="141" t="s">
        <v>825</v>
      </c>
      <c r="K44" s="291" t="s">
        <v>826</v>
      </c>
      <c r="M44" s="309" t="s">
        <v>548</v>
      </c>
      <c r="O44" s="121"/>
    </row>
    <row r="45" spans="1:15" s="121" customFormat="1" x14ac:dyDescent="0.15">
      <c r="C45" s="140" t="str">
        <f>'Emissions Factors'!B431</f>
        <v>Vineyard (distance between rows is negligible as most storage is in the soil)</v>
      </c>
      <c r="E45" s="452"/>
      <c r="G45" s="239" t="s">
        <v>479</v>
      </c>
      <c r="J45" s="305">
        <f>IF($J$13="Dry",'Emissions Factors'!C431,'Emissions Factors'!D431)</f>
        <v>-0.97</v>
      </c>
      <c r="K45" s="304">
        <f>E45*J45</f>
        <v>0</v>
      </c>
      <c r="M45" s="418">
        <f t="shared" ref="M45:M50" si="2">K45</f>
        <v>0</v>
      </c>
    </row>
    <row r="46" spans="1:15" s="121" customFormat="1" x14ac:dyDescent="0.15">
      <c r="C46" s="140" t="str">
        <f>'Emissions Factors'!B432</f>
        <v>Non-vineyard crops and seasonal plantings</v>
      </c>
      <c r="E46" s="452"/>
      <c r="G46" s="239" t="s">
        <v>479</v>
      </c>
      <c r="J46" s="305">
        <f>IF($J$13="Dry",'Emissions Factors'!C432,'Emissions Factors'!D432)</f>
        <v>-0.37</v>
      </c>
      <c r="K46" s="304">
        <f>E46*J46</f>
        <v>0</v>
      </c>
      <c r="M46" s="418">
        <f>K46</f>
        <v>0</v>
      </c>
    </row>
    <row r="47" spans="1:15" s="121" customFormat="1" x14ac:dyDescent="0.15">
      <c r="C47" s="140" t="str">
        <f>'Emissions Factors'!B433</f>
        <v>Trees and shrubs (forest)</v>
      </c>
      <c r="E47" s="452"/>
      <c r="G47" s="239" t="s">
        <v>479</v>
      </c>
      <c r="J47" s="305">
        <f>IF($J$13="Dry",'Emissions Factors'!C433,'Emissions Factors'!D433)</f>
        <v>-2.2599999999999998</v>
      </c>
      <c r="K47" s="304">
        <f t="shared" ref="K47:K50" si="3">E47*J47</f>
        <v>0</v>
      </c>
      <c r="M47" s="418">
        <f t="shared" si="2"/>
        <v>0</v>
      </c>
    </row>
    <row r="48" spans="1:15" s="121" customFormat="1" x14ac:dyDescent="0.15">
      <c r="C48" s="140" t="str">
        <f>'Emissions Factors'!B434</f>
        <v>Non-forest ecological protection zone</v>
      </c>
      <c r="E48" s="452"/>
      <c r="G48" s="239" t="s">
        <v>479</v>
      </c>
      <c r="J48" s="305">
        <f>IF($J$13="Dry",'Emissions Factors'!C434,'Emissions Factors'!D434)</f>
        <v>-1.26</v>
      </c>
      <c r="K48" s="304">
        <f t="shared" si="3"/>
        <v>0</v>
      </c>
      <c r="M48" s="418">
        <f t="shared" si="2"/>
        <v>0</v>
      </c>
    </row>
    <row r="49" spans="1:13" s="121" customFormat="1" x14ac:dyDescent="0.15">
      <c r="C49" s="140" t="str">
        <f>'Emissions Factors'!B435</f>
        <v>Prescribed grazing land</v>
      </c>
      <c r="E49" s="452"/>
      <c r="G49" s="239" t="s">
        <v>479</v>
      </c>
      <c r="J49" s="305">
        <f>IF($J$13="Dry",'Emissions Factors'!C435,'Emissions Factors'!D435)</f>
        <v>-0.26</v>
      </c>
      <c r="K49" s="304">
        <f t="shared" si="3"/>
        <v>0</v>
      </c>
      <c r="M49" s="418">
        <f t="shared" si="2"/>
        <v>0</v>
      </c>
    </row>
    <row r="50" spans="1:13" s="121" customFormat="1" x14ac:dyDescent="0.15">
      <c r="C50" s="140" t="str">
        <f>'Emissions Factors'!B436</f>
        <v>Disturbed land (i.e. built space, roads, buildings, dirt lots)</v>
      </c>
      <c r="E50" s="452"/>
      <c r="G50" s="239" t="s">
        <v>479</v>
      </c>
      <c r="J50" s="305">
        <f>IF($J$13="Dry",'Emissions Factors'!C436,'Emissions Factors'!D436)</f>
        <v>0</v>
      </c>
      <c r="K50" s="304">
        <f t="shared" si="3"/>
        <v>0</v>
      </c>
      <c r="M50" s="418">
        <f t="shared" si="2"/>
        <v>0</v>
      </c>
    </row>
    <row r="51" spans="1:13" s="121" customFormat="1" ht="13" x14ac:dyDescent="0.15">
      <c r="B51" s="141" t="s">
        <v>592</v>
      </c>
      <c r="C51" s="141"/>
      <c r="E51" s="440">
        <f>SUM(E45:E50)</f>
        <v>0</v>
      </c>
      <c r="F51" s="330"/>
      <c r="G51" s="239" t="s">
        <v>479</v>
      </c>
      <c r="K51" s="290"/>
      <c r="M51" s="277"/>
    </row>
    <row r="52" spans="1:13" x14ac:dyDescent="0.15">
      <c r="A52" s="240"/>
      <c r="B52" s="203"/>
      <c r="C52" s="203"/>
      <c r="D52" s="11"/>
      <c r="E52" s="11"/>
      <c r="F52" s="11"/>
      <c r="G52" s="11"/>
      <c r="H52" s="11"/>
      <c r="I52" s="238"/>
    </row>
    <row r="53" spans="1:13" x14ac:dyDescent="0.15">
      <c r="A53" s="240"/>
      <c r="B53" s="203"/>
      <c r="C53" s="203"/>
      <c r="D53" s="11"/>
      <c r="E53" s="11"/>
      <c r="F53" s="11"/>
      <c r="G53" s="11"/>
      <c r="H53" s="11"/>
      <c r="I53" s="238"/>
    </row>
    <row r="54" spans="1:13" x14ac:dyDescent="0.15">
      <c r="A54" s="240"/>
      <c r="B54" s="203"/>
      <c r="C54" s="203"/>
      <c r="D54" s="11"/>
      <c r="E54" s="11"/>
      <c r="F54" s="11"/>
      <c r="G54" s="11"/>
      <c r="H54" s="11"/>
      <c r="I54" s="238"/>
    </row>
    <row r="55" spans="1:13" x14ac:dyDescent="0.15">
      <c r="A55" s="240"/>
      <c r="B55" s="203"/>
      <c r="C55" s="203"/>
      <c r="D55" s="11"/>
      <c r="E55" s="11"/>
      <c r="F55" s="11"/>
      <c r="G55" s="11"/>
      <c r="H55" s="11"/>
      <c r="I55" s="238"/>
    </row>
    <row r="56" spans="1:13" x14ac:dyDescent="0.15">
      <c r="A56" s="240"/>
      <c r="B56" s="203"/>
      <c r="C56" s="203"/>
      <c r="D56" s="11"/>
      <c r="E56" s="11"/>
      <c r="F56" s="11"/>
      <c r="G56" s="11"/>
      <c r="H56" s="11"/>
      <c r="I56" s="238"/>
    </row>
    <row r="57" spans="1:13" x14ac:dyDescent="0.15">
      <c r="A57" s="240"/>
      <c r="B57" s="203"/>
      <c r="C57" s="203"/>
      <c r="D57" s="11"/>
      <c r="E57" s="11"/>
      <c r="F57" s="11"/>
      <c r="G57" s="11"/>
      <c r="H57" s="11"/>
      <c r="I57" s="238"/>
    </row>
    <row r="58" spans="1:13" x14ac:dyDescent="0.15">
      <c r="A58" s="240"/>
      <c r="B58" s="203"/>
      <c r="C58" s="203"/>
      <c r="D58" s="11"/>
      <c r="E58" s="11"/>
      <c r="F58" s="11"/>
      <c r="G58" s="11"/>
      <c r="H58" s="11"/>
      <c r="I58" s="238"/>
    </row>
    <row r="59" spans="1:13" x14ac:dyDescent="0.15">
      <c r="A59" s="240"/>
      <c r="B59" s="203"/>
      <c r="C59" s="203"/>
      <c r="D59" s="11"/>
      <c r="E59" s="11"/>
      <c r="F59" s="11"/>
      <c r="G59" s="11"/>
      <c r="H59" s="11"/>
      <c r="I59" s="238"/>
    </row>
    <row r="60" spans="1:13" x14ac:dyDescent="0.15">
      <c r="A60" s="240"/>
      <c r="B60" s="203"/>
      <c r="C60" s="203"/>
      <c r="D60" s="11"/>
      <c r="E60" s="11"/>
      <c r="F60" s="11"/>
      <c r="G60" s="11"/>
      <c r="H60" s="11"/>
      <c r="I60" s="238"/>
    </row>
    <row r="61" spans="1:13" x14ac:dyDescent="0.15">
      <c r="A61" s="240"/>
      <c r="B61" s="203"/>
      <c r="C61" s="203"/>
      <c r="D61" s="11"/>
      <c r="E61" s="11"/>
      <c r="F61" s="11"/>
      <c r="G61" s="11"/>
      <c r="H61" s="11"/>
      <c r="I61" s="238"/>
    </row>
    <row r="62" spans="1:13" x14ac:dyDescent="0.15">
      <c r="A62" s="240"/>
      <c r="B62" s="203"/>
      <c r="C62" s="203"/>
      <c r="D62" s="11"/>
      <c r="E62" s="11"/>
      <c r="F62" s="11"/>
      <c r="G62" s="11"/>
      <c r="H62" s="11"/>
      <c r="I62" s="238"/>
    </row>
  </sheetData>
  <sheetProtection algorithmName="SHA-512" hashValue="1u4fp0CTTsn7Rz/5vsORFjA7Ah0Pi8ILJLtJngah+/k4T4iVFXs1vOvTQZlleRRLqSOS2k0VaqJdALuvDJlzpg==" saltValue="fYx8VxC62MG8FZS6Jm8s4Q==" spinCount="100000" sheet="1" objects="1" scenarios="1"/>
  <mergeCells count="4">
    <mergeCell ref="B6:I6"/>
    <mergeCell ref="B44:G44"/>
    <mergeCell ref="B43:G43"/>
    <mergeCell ref="B31:G31"/>
  </mergeCells>
  <conditionalFormatting sqref="E28:F28">
    <cfRule type="cellIs" dxfId="1" priority="16" operator="notEqual">
      <formula>#REF!</formula>
    </cfRule>
  </conditionalFormatting>
  <dataValidations count="1">
    <dataValidation type="list" allowBlank="1" showInputMessage="1" showErrorMessage="1" sqref="E13" xr:uid="{00000000-0002-0000-0800-000000000000}">
      <formula1>$K$13:$K$14</formula1>
    </dataValidation>
  </dataValidations>
  <hyperlinks>
    <hyperlink ref="C8" r:id="rId1" xr:uid="{C08D5D81-2CC2-A641-88EE-1BB99D4C8313}"/>
    <hyperlink ref="C9" r:id="rId2" xr:uid="{B5C6C442-10ED-2447-B407-EA8DEB7D1BF6}"/>
  </hyperlinks>
  <pageMargins left="0.7" right="0.7" top="0.75" bottom="0.75" header="0.3" footer="0.3"/>
  <pageSetup orientation="portrait" horizontalDpi="0" verticalDpi="0"/>
  <ignoredErrors>
    <ignoredError sqref="E40" unlocked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9" tint="-0.249977111117893"/>
    <pageSetUpPr fitToPage="1"/>
  </sheetPr>
  <dimension ref="A1:IC53"/>
  <sheetViews>
    <sheetView zoomScale="106" zoomScaleNormal="100" workbookViewId="0">
      <selection activeCell="D11" sqref="D11"/>
    </sheetView>
  </sheetViews>
  <sheetFormatPr baseColWidth="10" defaultColWidth="9.1640625" defaultRowHeight="14" outlineLevelRow="1" outlineLevelCol="1" x14ac:dyDescent="0.15"/>
  <cols>
    <col min="1" max="1" width="3.5" style="2" bestFit="1" customWidth="1"/>
    <col min="2" max="2" width="11.1640625" style="2" customWidth="1"/>
    <col min="3" max="3" width="34.6640625" style="10" customWidth="1"/>
    <col min="4" max="4" width="7.5" style="2" customWidth="1"/>
    <col min="5" max="5" width="9" style="2" customWidth="1"/>
    <col min="6" max="15" width="7.5" style="2" customWidth="1"/>
    <col min="16" max="16" width="9.5" style="2" customWidth="1"/>
    <col min="17" max="17" width="10.6640625" style="2" hidden="1" customWidth="1" outlineLevel="1"/>
    <col min="18" max="18" width="10.1640625" style="2" hidden="1" customWidth="1" outlineLevel="1"/>
    <col min="19" max="26" width="9.5" style="2" hidden="1" customWidth="1" outlineLevel="1"/>
    <col min="27" max="27" width="10.33203125" style="2" hidden="1" customWidth="1" outlineLevel="1"/>
    <col min="28" max="28" width="13.1640625" style="130" customWidth="1" collapsed="1"/>
    <col min="29" max="237" width="9.1640625" style="2"/>
    <col min="238" max="16384" width="9.1640625" style="107"/>
  </cols>
  <sheetData>
    <row r="1" spans="1:28" ht="31" customHeight="1" x14ac:dyDescent="0.25">
      <c r="A1" s="114"/>
      <c r="B1" s="172" t="s">
        <v>14</v>
      </c>
      <c r="P1" s="115"/>
      <c r="AB1" s="2" t="s">
        <v>892</v>
      </c>
    </row>
    <row r="2" spans="1:28" ht="14" customHeight="1" x14ac:dyDescent="0.15">
      <c r="B2" s="173"/>
      <c r="C2" s="174"/>
      <c r="D2" s="174"/>
      <c r="E2" s="174"/>
      <c r="F2" s="174"/>
      <c r="G2" s="174"/>
      <c r="H2" s="174"/>
      <c r="I2" s="174"/>
      <c r="J2" s="174"/>
      <c r="K2" s="174"/>
      <c r="L2" s="174"/>
      <c r="M2" s="174"/>
      <c r="N2" s="174"/>
      <c r="O2" s="174"/>
      <c r="P2" s="174"/>
    </row>
    <row r="3" spans="1:28" ht="20" x14ac:dyDescent="0.25">
      <c r="B3" s="258" t="s">
        <v>626</v>
      </c>
      <c r="C3" s="117"/>
      <c r="D3" s="7"/>
      <c r="E3" s="175">
        <f>SUM(AA21:AA45)</f>
        <v>0</v>
      </c>
      <c r="F3" s="7" t="s">
        <v>497</v>
      </c>
      <c r="G3" s="7"/>
    </row>
    <row r="4" spans="1:28" ht="20" x14ac:dyDescent="0.25">
      <c r="B4" s="258" t="s">
        <v>738</v>
      </c>
      <c r="C4" s="117"/>
      <c r="D4" s="7"/>
      <c r="E4" s="175">
        <f>AA12</f>
        <v>0</v>
      </c>
      <c r="F4" s="7" t="s">
        <v>497</v>
      </c>
      <c r="G4" s="7"/>
    </row>
    <row r="5" spans="1:28" ht="23" x14ac:dyDescent="0.25">
      <c r="A5" s="114"/>
      <c r="B5" s="2" t="s">
        <v>199</v>
      </c>
    </row>
    <row r="6" spans="1:28" ht="120" customHeight="1" x14ac:dyDescent="0.15">
      <c r="B6" s="554" t="s">
        <v>556</v>
      </c>
      <c r="C6" s="554"/>
      <c r="D6" s="554"/>
      <c r="E6" s="554"/>
      <c r="F6" s="554"/>
      <c r="G6" s="554"/>
      <c r="H6" s="554"/>
      <c r="I6" s="554"/>
      <c r="J6" s="554"/>
      <c r="K6" s="554"/>
      <c r="L6" s="554"/>
      <c r="M6" s="554"/>
      <c r="N6" s="554"/>
      <c r="O6" s="554"/>
      <c r="P6" s="554"/>
    </row>
    <row r="8" spans="1:28" ht="20.25" customHeight="1" x14ac:dyDescent="0.2">
      <c r="B8" s="553" t="s">
        <v>435</v>
      </c>
      <c r="C8" s="553"/>
      <c r="D8" s="553"/>
      <c r="E8" s="553"/>
      <c r="F8" s="553"/>
      <c r="G8" s="553"/>
      <c r="H8" s="553"/>
      <c r="I8" s="553"/>
      <c r="J8" s="553"/>
      <c r="K8" s="553"/>
      <c r="L8" s="553"/>
      <c r="M8" s="553"/>
      <c r="N8" s="553"/>
      <c r="O8" s="553"/>
      <c r="P8" s="553"/>
    </row>
    <row r="9" spans="1:28" x14ac:dyDescent="0.15">
      <c r="B9" s="334" t="s">
        <v>304</v>
      </c>
      <c r="D9" s="128"/>
      <c r="E9" s="128"/>
      <c r="F9" s="128"/>
      <c r="G9" s="128"/>
      <c r="H9" s="128"/>
      <c r="I9" s="128"/>
      <c r="J9" s="128"/>
      <c r="K9" s="128"/>
      <c r="L9" s="128"/>
      <c r="M9" s="128"/>
      <c r="N9" s="128"/>
      <c r="O9" s="128"/>
      <c r="P9" s="128"/>
      <c r="Q9" s="176"/>
      <c r="R9" s="128"/>
      <c r="S9" s="128"/>
      <c r="T9" s="128"/>
      <c r="U9" s="128"/>
      <c r="V9" s="128"/>
      <c r="W9" s="128"/>
      <c r="X9" s="128"/>
      <c r="Y9" s="128"/>
      <c r="Z9" s="128"/>
      <c r="AA9" s="128"/>
    </row>
    <row r="10" spans="1:28" ht="29" customHeight="1" x14ac:dyDescent="0.2">
      <c r="B10" s="177"/>
      <c r="D10" s="128" t="s">
        <v>0</v>
      </c>
      <c r="E10" s="128" t="s">
        <v>1</v>
      </c>
      <c r="F10" s="128" t="s">
        <v>2</v>
      </c>
      <c r="G10" s="128" t="s">
        <v>3</v>
      </c>
      <c r="H10" s="128" t="s">
        <v>4</v>
      </c>
      <c r="I10" s="128" t="s">
        <v>5</v>
      </c>
      <c r="J10" s="128" t="s">
        <v>6</v>
      </c>
      <c r="K10" s="128" t="s">
        <v>7</v>
      </c>
      <c r="L10" s="128" t="s">
        <v>8</v>
      </c>
      <c r="M10" s="128" t="s">
        <v>9</v>
      </c>
      <c r="N10" s="128" t="s">
        <v>10</v>
      </c>
      <c r="O10" s="128" t="s">
        <v>11</v>
      </c>
      <c r="P10" s="128"/>
      <c r="Q10" s="128" t="s">
        <v>197</v>
      </c>
      <c r="R10" s="128" t="s">
        <v>196</v>
      </c>
      <c r="S10" s="128" t="s">
        <v>557</v>
      </c>
      <c r="T10" s="128" t="s">
        <v>558</v>
      </c>
      <c r="U10" s="128" t="s">
        <v>559</v>
      </c>
      <c r="V10" s="128" t="s">
        <v>560</v>
      </c>
      <c r="W10" s="128" t="s">
        <v>561</v>
      </c>
      <c r="X10" s="128" t="s">
        <v>536</v>
      </c>
      <c r="Y10" s="128" t="s">
        <v>562</v>
      </c>
      <c r="Z10" s="128" t="s">
        <v>538</v>
      </c>
      <c r="AA10" s="128" t="s">
        <v>563</v>
      </c>
      <c r="AB10" s="128" t="s">
        <v>753</v>
      </c>
    </row>
    <row r="11" spans="1:28" x14ac:dyDescent="0.15">
      <c r="B11" s="558" t="s">
        <v>842</v>
      </c>
      <c r="C11" s="559"/>
      <c r="D11" s="399"/>
      <c r="E11" s="400"/>
      <c r="F11" s="400"/>
      <c r="G11" s="400"/>
      <c r="H11" s="400"/>
      <c r="I11" s="400"/>
      <c r="J11" s="400"/>
      <c r="K11" s="400"/>
      <c r="L11" s="400"/>
      <c r="M11" s="400"/>
      <c r="N11" s="400"/>
      <c r="O11" s="400"/>
      <c r="P11" s="128"/>
      <c r="Q11" s="162">
        <f>SUM(D11:O11)</f>
        <v>0</v>
      </c>
      <c r="AB11" s="418">
        <f>AA12</f>
        <v>0</v>
      </c>
    </row>
    <row r="12" spans="1:28" x14ac:dyDescent="0.15">
      <c r="B12" s="300" t="s">
        <v>843</v>
      </c>
      <c r="C12" s="306"/>
      <c r="D12" s="399"/>
      <c r="E12" s="400"/>
      <c r="F12" s="400"/>
      <c r="G12" s="400"/>
      <c r="H12" s="400"/>
      <c r="I12" s="400"/>
      <c r="J12" s="400"/>
      <c r="K12" s="400"/>
      <c r="L12" s="400"/>
      <c r="M12" s="400"/>
      <c r="N12" s="400"/>
      <c r="O12" s="400"/>
      <c r="P12" s="128"/>
      <c r="Q12" s="162">
        <f>SUM(D12:O12)</f>
        <v>0</v>
      </c>
      <c r="R12" s="162">
        <f>(Q12+Q11)/1000</f>
        <v>0</v>
      </c>
      <c r="S12" s="179">
        <f>'Emissions Factors'!$C$65</f>
        <v>651.20000000000005</v>
      </c>
      <c r="T12" s="179">
        <f>'Emissions Factors'!$C$66</f>
        <v>6.0999999999999999E-2</v>
      </c>
      <c r="U12" s="179">
        <f>'Emissions Factors'!$C$67</f>
        <v>8.9999999999999993E-3</v>
      </c>
      <c r="V12" s="179">
        <f>'Emissions Factors'!$C$75</f>
        <v>28</v>
      </c>
      <c r="W12" s="179">
        <f>'Emissions Factors'!$C$76</f>
        <v>265</v>
      </c>
      <c r="X12" s="162">
        <f>(R12*S12)*'Emissions Factors'!$C$24</f>
        <v>0</v>
      </c>
      <c r="Y12" s="162">
        <f>(R12*T12*V12)*'Emissions Factors'!$C$24</f>
        <v>0</v>
      </c>
      <c r="Z12" s="162">
        <f>(R12*U12*W12)*'Emissions Factors'!$C$24</f>
        <v>0</v>
      </c>
      <c r="AA12" s="162">
        <f>-SUM(X12:Z12)</f>
        <v>0</v>
      </c>
      <c r="AB12" s="107"/>
    </row>
    <row r="13" spans="1:28" x14ac:dyDescent="0.15">
      <c r="B13" s="491" t="s">
        <v>302</v>
      </c>
      <c r="C13" s="492"/>
      <c r="D13" s="555"/>
      <c r="E13" s="556"/>
      <c r="F13" s="556"/>
      <c r="G13" s="556"/>
      <c r="H13" s="556"/>
      <c r="I13" s="556"/>
      <c r="J13" s="556"/>
      <c r="K13" s="556"/>
      <c r="L13" s="556"/>
      <c r="M13" s="556"/>
      <c r="N13" s="556"/>
      <c r="O13" s="557"/>
      <c r="P13" s="128"/>
    </row>
    <row r="14" spans="1:28" x14ac:dyDescent="0.15">
      <c r="B14" s="4"/>
      <c r="C14" s="140"/>
      <c r="D14" s="180"/>
      <c r="E14" s="180"/>
      <c r="F14" s="180"/>
      <c r="G14" s="180"/>
      <c r="H14" s="180"/>
      <c r="I14" s="180"/>
      <c r="J14" s="180"/>
      <c r="K14" s="180"/>
      <c r="L14" s="180"/>
      <c r="M14" s="180"/>
      <c r="N14" s="180"/>
      <c r="O14" s="180"/>
    </row>
    <row r="15" spans="1:28" ht="15" customHeight="1" x14ac:dyDescent="0.15">
      <c r="B15" s="14"/>
      <c r="C15" s="138"/>
      <c r="D15" s="14"/>
      <c r="E15" s="14"/>
      <c r="F15" s="14"/>
      <c r="G15" s="14"/>
      <c r="H15" s="14"/>
      <c r="I15" s="14"/>
      <c r="J15" s="14"/>
      <c r="K15" s="14"/>
      <c r="L15" s="14"/>
      <c r="M15" s="14"/>
      <c r="N15" s="14"/>
      <c r="O15" s="14"/>
      <c r="P15" s="14"/>
      <c r="Q15" s="128"/>
      <c r="R15" s="128"/>
      <c r="S15" s="128"/>
      <c r="T15" s="128"/>
      <c r="U15" s="128"/>
      <c r="V15" s="128"/>
      <c r="W15" s="128"/>
      <c r="X15" s="14"/>
    </row>
    <row r="16" spans="1:28" ht="20.25" customHeight="1" x14ac:dyDescent="0.2">
      <c r="B16" s="553" t="s">
        <v>436</v>
      </c>
      <c r="C16" s="553"/>
      <c r="D16" s="553"/>
      <c r="E16" s="553"/>
      <c r="F16" s="553"/>
      <c r="G16" s="553"/>
      <c r="H16" s="553"/>
      <c r="I16" s="553"/>
      <c r="J16" s="553"/>
      <c r="K16" s="553"/>
      <c r="L16" s="553"/>
      <c r="M16" s="553"/>
      <c r="N16" s="553"/>
      <c r="O16" s="553"/>
      <c r="P16" s="553"/>
      <c r="Q16" s="128"/>
      <c r="R16" s="128"/>
      <c r="S16" s="128"/>
      <c r="T16" s="128"/>
      <c r="U16" s="128"/>
      <c r="V16" s="128"/>
      <c r="W16" s="128"/>
    </row>
    <row r="17" spans="2:28" ht="35" customHeight="1" x14ac:dyDescent="0.15">
      <c r="B17" s="548" t="s">
        <v>895</v>
      </c>
      <c r="C17" s="548"/>
      <c r="D17" s="548"/>
      <c r="E17" s="548"/>
      <c r="F17" s="548"/>
      <c r="G17" s="548"/>
      <c r="H17" s="548"/>
      <c r="I17" s="548"/>
      <c r="J17" s="548"/>
      <c r="K17" s="548"/>
      <c r="L17" s="548"/>
      <c r="M17" s="548"/>
      <c r="N17" s="548"/>
      <c r="O17" s="548"/>
      <c r="P17" s="548"/>
    </row>
    <row r="18" spans="2:28" ht="15" customHeight="1" x14ac:dyDescent="0.15">
      <c r="B18" s="4"/>
    </row>
    <row r="19" spans="2:28" x14ac:dyDescent="0.15">
      <c r="B19" s="340" t="s">
        <v>668</v>
      </c>
      <c r="D19" s="181"/>
    </row>
    <row r="20" spans="2:28" ht="31" customHeight="1" x14ac:dyDescent="0.2">
      <c r="C20" s="138" t="s">
        <v>16</v>
      </c>
      <c r="D20" s="128" t="s">
        <v>0</v>
      </c>
      <c r="E20" s="128" t="s">
        <v>1</v>
      </c>
      <c r="F20" s="128" t="s">
        <v>2</v>
      </c>
      <c r="G20" s="128" t="s">
        <v>3</v>
      </c>
      <c r="H20" s="128" t="s">
        <v>4</v>
      </c>
      <c r="I20" s="128" t="s">
        <v>5</v>
      </c>
      <c r="J20" s="128" t="s">
        <v>6</v>
      </c>
      <c r="K20" s="128" t="s">
        <v>7</v>
      </c>
      <c r="L20" s="128" t="s">
        <v>8</v>
      </c>
      <c r="M20" s="128" t="s">
        <v>9</v>
      </c>
      <c r="N20" s="128" t="s">
        <v>10</v>
      </c>
      <c r="O20" s="128" t="s">
        <v>11</v>
      </c>
      <c r="Q20" s="128" t="s">
        <v>123</v>
      </c>
      <c r="R20" s="128" t="s">
        <v>124</v>
      </c>
      <c r="S20" s="128" t="s">
        <v>557</v>
      </c>
      <c r="T20" s="128" t="s">
        <v>558</v>
      </c>
      <c r="U20" s="128" t="s">
        <v>559</v>
      </c>
      <c r="V20" s="128" t="s">
        <v>560</v>
      </c>
      <c r="W20" s="128" t="s">
        <v>561</v>
      </c>
      <c r="X20" s="128" t="s">
        <v>536</v>
      </c>
      <c r="Y20" s="128" t="s">
        <v>562</v>
      </c>
      <c r="Z20" s="128" t="s">
        <v>538</v>
      </c>
      <c r="AA20" s="128" t="s">
        <v>564</v>
      </c>
      <c r="AB20" s="128" t="s">
        <v>565</v>
      </c>
    </row>
    <row r="21" spans="2:28" x14ac:dyDescent="0.15">
      <c r="B21" s="2">
        <v>1</v>
      </c>
      <c r="C21" s="397"/>
      <c r="D21" s="398"/>
      <c r="E21" s="398"/>
      <c r="F21" s="398"/>
      <c r="G21" s="398"/>
      <c r="H21" s="398"/>
      <c r="I21" s="398"/>
      <c r="J21" s="398"/>
      <c r="K21" s="398"/>
      <c r="L21" s="398"/>
      <c r="M21" s="398"/>
      <c r="N21" s="398"/>
      <c r="O21" s="398"/>
      <c r="Q21" s="162">
        <f t="shared" ref="Q21:Q45" si="0">SUM(D21:O21)</f>
        <v>0</v>
      </c>
      <c r="R21" s="162">
        <f t="shared" ref="R21:R45" si="1">Q21/1000</f>
        <v>0</v>
      </c>
      <c r="S21" s="179">
        <f>'Emissions Factors'!$C$65</f>
        <v>651.20000000000005</v>
      </c>
      <c r="T21" s="179">
        <f>'Emissions Factors'!$C$66</f>
        <v>6.0999999999999999E-2</v>
      </c>
      <c r="U21" s="179">
        <f>'Emissions Factors'!$C$67</f>
        <v>8.9999999999999993E-3</v>
      </c>
      <c r="V21" s="179">
        <f>'Emissions Factors'!$C$75</f>
        <v>28</v>
      </c>
      <c r="W21" s="179">
        <f>'Emissions Factors'!$C$76</f>
        <v>265</v>
      </c>
      <c r="X21" s="162">
        <f>(R21*S21)*'Emissions Factors'!$C$24</f>
        <v>0</v>
      </c>
      <c r="Y21" s="162">
        <f>(R21*T21*V21)*'Emissions Factors'!$C$24</f>
        <v>0</v>
      </c>
      <c r="Z21" s="162">
        <f>(R21*U21*W21)*'Emissions Factors'!$C$24</f>
        <v>0</v>
      </c>
      <c r="AA21" s="162">
        <f t="shared" ref="AA21:AA45" si="2">SUM(X21:Z21)</f>
        <v>0</v>
      </c>
      <c r="AB21" s="418">
        <f t="shared" ref="AB21:AB45" si="3">AA21</f>
        <v>0</v>
      </c>
    </row>
    <row r="22" spans="2:28" x14ac:dyDescent="0.15">
      <c r="B22" s="2">
        <v>2</v>
      </c>
      <c r="C22" s="397"/>
      <c r="D22" s="398"/>
      <c r="E22" s="398"/>
      <c r="F22" s="398"/>
      <c r="G22" s="398"/>
      <c r="H22" s="398"/>
      <c r="I22" s="398"/>
      <c r="J22" s="398"/>
      <c r="K22" s="398"/>
      <c r="L22" s="398"/>
      <c r="M22" s="398"/>
      <c r="N22" s="398"/>
      <c r="O22" s="398"/>
      <c r="Q22" s="162">
        <f t="shared" si="0"/>
        <v>0</v>
      </c>
      <c r="R22" s="162">
        <f t="shared" si="1"/>
        <v>0</v>
      </c>
      <c r="S22" s="179">
        <f>'Emissions Factors'!$C$65</f>
        <v>651.20000000000005</v>
      </c>
      <c r="T22" s="179">
        <f>'Emissions Factors'!$C$66</f>
        <v>6.0999999999999999E-2</v>
      </c>
      <c r="U22" s="179">
        <f>'Emissions Factors'!$C$67</f>
        <v>8.9999999999999993E-3</v>
      </c>
      <c r="V22" s="179">
        <f>'Emissions Factors'!$C$75</f>
        <v>28</v>
      </c>
      <c r="W22" s="179">
        <f>'Emissions Factors'!$C$76</f>
        <v>265</v>
      </c>
      <c r="X22" s="162">
        <f>(R22*S22)*'Emissions Factors'!$C$24</f>
        <v>0</v>
      </c>
      <c r="Y22" s="162">
        <f>(R22*T22*V22)*'Emissions Factors'!$C$24</f>
        <v>0</v>
      </c>
      <c r="Z22" s="162">
        <f>(R22*U22*W22)*'Emissions Factors'!$C$24</f>
        <v>0</v>
      </c>
      <c r="AA22" s="162">
        <f t="shared" si="2"/>
        <v>0</v>
      </c>
      <c r="AB22" s="418">
        <f t="shared" si="3"/>
        <v>0</v>
      </c>
    </row>
    <row r="23" spans="2:28" x14ac:dyDescent="0.15">
      <c r="B23" s="2">
        <v>3</v>
      </c>
      <c r="C23" s="397"/>
      <c r="D23" s="398"/>
      <c r="E23" s="398"/>
      <c r="F23" s="398"/>
      <c r="G23" s="398"/>
      <c r="H23" s="398"/>
      <c r="I23" s="398"/>
      <c r="J23" s="398"/>
      <c r="K23" s="398"/>
      <c r="L23" s="398"/>
      <c r="M23" s="398"/>
      <c r="N23" s="398"/>
      <c r="O23" s="398"/>
      <c r="Q23" s="162">
        <f t="shared" si="0"/>
        <v>0</v>
      </c>
      <c r="R23" s="162">
        <f t="shared" si="1"/>
        <v>0</v>
      </c>
      <c r="S23" s="179">
        <f>'Emissions Factors'!$C$65</f>
        <v>651.20000000000005</v>
      </c>
      <c r="T23" s="179">
        <f>'Emissions Factors'!$C$66</f>
        <v>6.0999999999999999E-2</v>
      </c>
      <c r="U23" s="179">
        <f>'Emissions Factors'!$C$67</f>
        <v>8.9999999999999993E-3</v>
      </c>
      <c r="V23" s="179">
        <f>'Emissions Factors'!$C$75</f>
        <v>28</v>
      </c>
      <c r="W23" s="179">
        <f>'Emissions Factors'!$C$76</f>
        <v>265</v>
      </c>
      <c r="X23" s="162">
        <f>(R23*S23)*'Emissions Factors'!$C$24</f>
        <v>0</v>
      </c>
      <c r="Y23" s="162">
        <f>(R23*T23*V23)*'Emissions Factors'!$C$24</f>
        <v>0</v>
      </c>
      <c r="Z23" s="162">
        <f>(R23*U23*W23)*'Emissions Factors'!$C$24</f>
        <v>0</v>
      </c>
      <c r="AA23" s="162">
        <f t="shared" si="2"/>
        <v>0</v>
      </c>
      <c r="AB23" s="418">
        <f t="shared" si="3"/>
        <v>0</v>
      </c>
    </row>
    <row r="24" spans="2:28" x14ac:dyDescent="0.15">
      <c r="B24" s="2">
        <v>4</v>
      </c>
      <c r="C24" s="397"/>
      <c r="D24" s="398"/>
      <c r="E24" s="398"/>
      <c r="F24" s="398"/>
      <c r="G24" s="398"/>
      <c r="H24" s="398"/>
      <c r="I24" s="398"/>
      <c r="J24" s="398"/>
      <c r="K24" s="398"/>
      <c r="L24" s="398"/>
      <c r="M24" s="398"/>
      <c r="N24" s="398"/>
      <c r="O24" s="398"/>
      <c r="Q24" s="162">
        <f t="shared" si="0"/>
        <v>0</v>
      </c>
      <c r="R24" s="162">
        <f t="shared" si="1"/>
        <v>0</v>
      </c>
      <c r="S24" s="179">
        <f>'Emissions Factors'!$C$65</f>
        <v>651.20000000000005</v>
      </c>
      <c r="T24" s="179">
        <f>'Emissions Factors'!$C$66</f>
        <v>6.0999999999999999E-2</v>
      </c>
      <c r="U24" s="179">
        <f>'Emissions Factors'!$C$67</f>
        <v>8.9999999999999993E-3</v>
      </c>
      <c r="V24" s="179">
        <f>'Emissions Factors'!$C$75</f>
        <v>28</v>
      </c>
      <c r="W24" s="179">
        <f>'Emissions Factors'!$C$76</f>
        <v>265</v>
      </c>
      <c r="X24" s="162">
        <f>(R24*S24)*'Emissions Factors'!$C$24</f>
        <v>0</v>
      </c>
      <c r="Y24" s="162">
        <f>(R24*T24*V24)*'Emissions Factors'!$C$24</f>
        <v>0</v>
      </c>
      <c r="Z24" s="162">
        <f>(R24*U24*W24)*'Emissions Factors'!$C$24</f>
        <v>0</v>
      </c>
      <c r="AA24" s="162">
        <f t="shared" si="2"/>
        <v>0</v>
      </c>
      <c r="AB24" s="418">
        <f t="shared" si="3"/>
        <v>0</v>
      </c>
    </row>
    <row r="25" spans="2:28" x14ac:dyDescent="0.15">
      <c r="B25" s="2">
        <v>5</v>
      </c>
      <c r="C25" s="397"/>
      <c r="D25" s="398"/>
      <c r="E25" s="398"/>
      <c r="F25" s="398"/>
      <c r="G25" s="398"/>
      <c r="H25" s="398"/>
      <c r="I25" s="398"/>
      <c r="J25" s="398"/>
      <c r="K25" s="398"/>
      <c r="L25" s="398"/>
      <c r="M25" s="398"/>
      <c r="N25" s="398"/>
      <c r="O25" s="398"/>
      <c r="Q25" s="162">
        <f t="shared" si="0"/>
        <v>0</v>
      </c>
      <c r="R25" s="162">
        <f t="shared" si="1"/>
        <v>0</v>
      </c>
      <c r="S25" s="179">
        <f>'Emissions Factors'!$C$65</f>
        <v>651.20000000000005</v>
      </c>
      <c r="T25" s="179">
        <f>'Emissions Factors'!$C$66</f>
        <v>6.0999999999999999E-2</v>
      </c>
      <c r="U25" s="179">
        <f>'Emissions Factors'!$C$67</f>
        <v>8.9999999999999993E-3</v>
      </c>
      <c r="V25" s="179">
        <f>'Emissions Factors'!$C$75</f>
        <v>28</v>
      </c>
      <c r="W25" s="179">
        <f>'Emissions Factors'!$C$76</f>
        <v>265</v>
      </c>
      <c r="X25" s="162">
        <f>(R25*S25)*'Emissions Factors'!$C$24</f>
        <v>0</v>
      </c>
      <c r="Y25" s="162">
        <f>(R25*T25*V25)*'Emissions Factors'!$C$24</f>
        <v>0</v>
      </c>
      <c r="Z25" s="162">
        <f>(R25*U25*W25)*'Emissions Factors'!$C$24</f>
        <v>0</v>
      </c>
      <c r="AA25" s="162">
        <f t="shared" si="2"/>
        <v>0</v>
      </c>
      <c r="AB25" s="418">
        <f t="shared" si="3"/>
        <v>0</v>
      </c>
    </row>
    <row r="26" spans="2:28" x14ac:dyDescent="0.15">
      <c r="B26" s="2">
        <v>6</v>
      </c>
      <c r="C26" s="397"/>
      <c r="D26" s="398"/>
      <c r="E26" s="398"/>
      <c r="F26" s="398"/>
      <c r="G26" s="398"/>
      <c r="H26" s="398"/>
      <c r="I26" s="398"/>
      <c r="J26" s="398"/>
      <c r="K26" s="398"/>
      <c r="L26" s="398"/>
      <c r="M26" s="398"/>
      <c r="N26" s="398"/>
      <c r="O26" s="398"/>
      <c r="Q26" s="162">
        <f t="shared" si="0"/>
        <v>0</v>
      </c>
      <c r="R26" s="162">
        <f t="shared" si="1"/>
        <v>0</v>
      </c>
      <c r="S26" s="179">
        <f>'Emissions Factors'!$C$65</f>
        <v>651.20000000000005</v>
      </c>
      <c r="T26" s="179">
        <f>'Emissions Factors'!$C$66</f>
        <v>6.0999999999999999E-2</v>
      </c>
      <c r="U26" s="179">
        <f>'Emissions Factors'!$C$67</f>
        <v>8.9999999999999993E-3</v>
      </c>
      <c r="V26" s="179">
        <f>'Emissions Factors'!$C$75</f>
        <v>28</v>
      </c>
      <c r="W26" s="179">
        <f>'Emissions Factors'!$C$76</f>
        <v>265</v>
      </c>
      <c r="X26" s="162">
        <f>(R26*S26)*'Emissions Factors'!$C$24</f>
        <v>0</v>
      </c>
      <c r="Y26" s="162">
        <f>(R26*T26*V26)*'Emissions Factors'!$C$24</f>
        <v>0</v>
      </c>
      <c r="Z26" s="162">
        <f>(R26*U26*W26)*'Emissions Factors'!$C$24</f>
        <v>0</v>
      </c>
      <c r="AA26" s="162">
        <f t="shared" si="2"/>
        <v>0</v>
      </c>
      <c r="AB26" s="418">
        <f t="shared" si="3"/>
        <v>0</v>
      </c>
    </row>
    <row r="27" spans="2:28" x14ac:dyDescent="0.15">
      <c r="B27" s="2">
        <v>7</v>
      </c>
      <c r="C27" s="397"/>
      <c r="D27" s="398"/>
      <c r="E27" s="398"/>
      <c r="F27" s="398"/>
      <c r="G27" s="398"/>
      <c r="H27" s="398"/>
      <c r="I27" s="398"/>
      <c r="J27" s="398"/>
      <c r="K27" s="398"/>
      <c r="L27" s="398"/>
      <c r="M27" s="398"/>
      <c r="N27" s="398"/>
      <c r="O27" s="398"/>
      <c r="Q27" s="162">
        <f t="shared" si="0"/>
        <v>0</v>
      </c>
      <c r="R27" s="162">
        <f t="shared" si="1"/>
        <v>0</v>
      </c>
      <c r="S27" s="179">
        <f>'Emissions Factors'!$C$65</f>
        <v>651.20000000000005</v>
      </c>
      <c r="T27" s="179">
        <f>'Emissions Factors'!$C$66</f>
        <v>6.0999999999999999E-2</v>
      </c>
      <c r="U27" s="179">
        <f>'Emissions Factors'!$C$67</f>
        <v>8.9999999999999993E-3</v>
      </c>
      <c r="V27" s="179">
        <f>'Emissions Factors'!$C$75</f>
        <v>28</v>
      </c>
      <c r="W27" s="179">
        <f>'Emissions Factors'!$C$76</f>
        <v>265</v>
      </c>
      <c r="X27" s="162">
        <f>(R27*S27)*'Emissions Factors'!$C$24</f>
        <v>0</v>
      </c>
      <c r="Y27" s="162">
        <f>(R27*T27*V27)*'Emissions Factors'!$C$24</f>
        <v>0</v>
      </c>
      <c r="Z27" s="162">
        <f>(R27*U27*W27)*'Emissions Factors'!$C$24</f>
        <v>0</v>
      </c>
      <c r="AA27" s="162">
        <f t="shared" si="2"/>
        <v>0</v>
      </c>
      <c r="AB27" s="418">
        <f t="shared" si="3"/>
        <v>0</v>
      </c>
    </row>
    <row r="28" spans="2:28" x14ac:dyDescent="0.15">
      <c r="B28" s="2">
        <v>8</v>
      </c>
      <c r="C28" s="397"/>
      <c r="D28" s="398"/>
      <c r="E28" s="398"/>
      <c r="F28" s="398"/>
      <c r="G28" s="398"/>
      <c r="H28" s="398"/>
      <c r="I28" s="398"/>
      <c r="J28" s="398"/>
      <c r="K28" s="398"/>
      <c r="L28" s="398"/>
      <c r="M28" s="398"/>
      <c r="N28" s="398"/>
      <c r="O28" s="398"/>
      <c r="Q28" s="162">
        <f t="shared" si="0"/>
        <v>0</v>
      </c>
      <c r="R28" s="162">
        <f t="shared" si="1"/>
        <v>0</v>
      </c>
      <c r="S28" s="179">
        <f>'Emissions Factors'!$C$65</f>
        <v>651.20000000000005</v>
      </c>
      <c r="T28" s="179">
        <f>'Emissions Factors'!$C$66</f>
        <v>6.0999999999999999E-2</v>
      </c>
      <c r="U28" s="179">
        <f>'Emissions Factors'!$C$67</f>
        <v>8.9999999999999993E-3</v>
      </c>
      <c r="V28" s="179">
        <f>'Emissions Factors'!$C$75</f>
        <v>28</v>
      </c>
      <c r="W28" s="179">
        <f>'Emissions Factors'!$C$76</f>
        <v>265</v>
      </c>
      <c r="X28" s="162">
        <f>(R28*S28)*'Emissions Factors'!$C$24</f>
        <v>0</v>
      </c>
      <c r="Y28" s="162">
        <f>(R28*T28*V28)*'Emissions Factors'!$C$24</f>
        <v>0</v>
      </c>
      <c r="Z28" s="162">
        <f>(R28*U28*W28)*'Emissions Factors'!$C$24</f>
        <v>0</v>
      </c>
      <c r="AA28" s="162">
        <f t="shared" si="2"/>
        <v>0</v>
      </c>
      <c r="AB28" s="418">
        <f t="shared" si="3"/>
        <v>0</v>
      </c>
    </row>
    <row r="29" spans="2:28" hidden="1" outlineLevel="1" x14ac:dyDescent="0.15">
      <c r="B29" s="2">
        <v>9</v>
      </c>
      <c r="C29" s="397"/>
      <c r="D29" s="398"/>
      <c r="E29" s="398"/>
      <c r="F29" s="398"/>
      <c r="G29" s="398"/>
      <c r="H29" s="398"/>
      <c r="I29" s="398"/>
      <c r="J29" s="398"/>
      <c r="K29" s="398"/>
      <c r="L29" s="398"/>
      <c r="M29" s="398"/>
      <c r="N29" s="398"/>
      <c r="O29" s="398"/>
      <c r="Q29" s="162">
        <f t="shared" si="0"/>
        <v>0</v>
      </c>
      <c r="R29" s="162">
        <f t="shared" si="1"/>
        <v>0</v>
      </c>
      <c r="S29" s="179">
        <f>'Emissions Factors'!$C$65</f>
        <v>651.20000000000005</v>
      </c>
      <c r="T29" s="179">
        <f>'Emissions Factors'!$C$66</f>
        <v>6.0999999999999999E-2</v>
      </c>
      <c r="U29" s="179">
        <f>'Emissions Factors'!$C$67</f>
        <v>8.9999999999999993E-3</v>
      </c>
      <c r="V29" s="179">
        <f>'Emissions Factors'!$C$75</f>
        <v>28</v>
      </c>
      <c r="W29" s="179">
        <f>'Emissions Factors'!$C$76</f>
        <v>265</v>
      </c>
      <c r="X29" s="162">
        <f>(R29*S29)*'Emissions Factors'!$C$24</f>
        <v>0</v>
      </c>
      <c r="Y29" s="162">
        <f>(R29*T29*V29)*'Emissions Factors'!$C$24</f>
        <v>0</v>
      </c>
      <c r="Z29" s="162">
        <f>(R29*U29*W29)*'Emissions Factors'!$C$24</f>
        <v>0</v>
      </c>
      <c r="AA29" s="162">
        <f t="shared" si="2"/>
        <v>0</v>
      </c>
      <c r="AB29" s="418">
        <f t="shared" si="3"/>
        <v>0</v>
      </c>
    </row>
    <row r="30" spans="2:28" hidden="1" outlineLevel="1" x14ac:dyDescent="0.15">
      <c r="B30" s="2">
        <v>10</v>
      </c>
      <c r="C30" s="397"/>
      <c r="D30" s="398"/>
      <c r="E30" s="398"/>
      <c r="F30" s="398"/>
      <c r="G30" s="398"/>
      <c r="H30" s="398"/>
      <c r="I30" s="398"/>
      <c r="J30" s="398"/>
      <c r="K30" s="398"/>
      <c r="L30" s="398"/>
      <c r="M30" s="398"/>
      <c r="N30" s="398"/>
      <c r="O30" s="398"/>
      <c r="Q30" s="162">
        <f t="shared" si="0"/>
        <v>0</v>
      </c>
      <c r="R30" s="162">
        <f t="shared" si="1"/>
        <v>0</v>
      </c>
      <c r="S30" s="179">
        <f>'Emissions Factors'!$C$65</f>
        <v>651.20000000000005</v>
      </c>
      <c r="T30" s="179">
        <f>'Emissions Factors'!$C$66</f>
        <v>6.0999999999999999E-2</v>
      </c>
      <c r="U30" s="179">
        <f>'Emissions Factors'!$C$67</f>
        <v>8.9999999999999993E-3</v>
      </c>
      <c r="V30" s="179">
        <f>'Emissions Factors'!$C$75</f>
        <v>28</v>
      </c>
      <c r="W30" s="179">
        <f>'Emissions Factors'!$C$76</f>
        <v>265</v>
      </c>
      <c r="X30" s="162">
        <f>(R30*S30)*'Emissions Factors'!$C$24</f>
        <v>0</v>
      </c>
      <c r="Y30" s="162">
        <f>(R30*T30*V30)*'Emissions Factors'!$C$24</f>
        <v>0</v>
      </c>
      <c r="Z30" s="162">
        <f>(R30*U30*W30)*'Emissions Factors'!$C$24</f>
        <v>0</v>
      </c>
      <c r="AA30" s="162">
        <f t="shared" si="2"/>
        <v>0</v>
      </c>
      <c r="AB30" s="418">
        <f t="shared" si="3"/>
        <v>0</v>
      </c>
    </row>
    <row r="31" spans="2:28" hidden="1" outlineLevel="1" x14ac:dyDescent="0.15">
      <c r="B31" s="2">
        <v>11</v>
      </c>
      <c r="C31" s="397"/>
      <c r="D31" s="398"/>
      <c r="E31" s="398"/>
      <c r="F31" s="398"/>
      <c r="G31" s="398"/>
      <c r="H31" s="398"/>
      <c r="I31" s="398"/>
      <c r="J31" s="398"/>
      <c r="K31" s="398"/>
      <c r="L31" s="398"/>
      <c r="M31" s="398"/>
      <c r="N31" s="398"/>
      <c r="O31" s="398"/>
      <c r="Q31" s="162">
        <f t="shared" si="0"/>
        <v>0</v>
      </c>
      <c r="R31" s="162">
        <f t="shared" si="1"/>
        <v>0</v>
      </c>
      <c r="S31" s="179">
        <f>'Emissions Factors'!$C$65</f>
        <v>651.20000000000005</v>
      </c>
      <c r="T31" s="179">
        <f>'Emissions Factors'!$C$66</f>
        <v>6.0999999999999999E-2</v>
      </c>
      <c r="U31" s="179">
        <f>'Emissions Factors'!$C$67</f>
        <v>8.9999999999999993E-3</v>
      </c>
      <c r="V31" s="179">
        <f>'Emissions Factors'!$C$75</f>
        <v>28</v>
      </c>
      <c r="W31" s="179">
        <f>'Emissions Factors'!$C$76</f>
        <v>265</v>
      </c>
      <c r="X31" s="162">
        <f>(R31*S31)*'Emissions Factors'!$C$24</f>
        <v>0</v>
      </c>
      <c r="Y31" s="162">
        <f>(R31*T31*V31)*'Emissions Factors'!$C$24</f>
        <v>0</v>
      </c>
      <c r="Z31" s="162">
        <f>(R31*U31*W31)*'Emissions Factors'!$C$24</f>
        <v>0</v>
      </c>
      <c r="AA31" s="162">
        <f t="shared" si="2"/>
        <v>0</v>
      </c>
      <c r="AB31" s="418">
        <f t="shared" si="3"/>
        <v>0</v>
      </c>
    </row>
    <row r="32" spans="2:28" hidden="1" outlineLevel="1" x14ac:dyDescent="0.15">
      <c r="B32" s="2">
        <v>12</v>
      </c>
      <c r="C32" s="397"/>
      <c r="D32" s="398"/>
      <c r="E32" s="398"/>
      <c r="F32" s="398"/>
      <c r="G32" s="398"/>
      <c r="H32" s="398"/>
      <c r="I32" s="398"/>
      <c r="J32" s="398"/>
      <c r="K32" s="398"/>
      <c r="L32" s="398"/>
      <c r="M32" s="398"/>
      <c r="N32" s="398"/>
      <c r="O32" s="398"/>
      <c r="Q32" s="162">
        <f t="shared" si="0"/>
        <v>0</v>
      </c>
      <c r="R32" s="162">
        <f t="shared" si="1"/>
        <v>0</v>
      </c>
      <c r="S32" s="179">
        <f>'Emissions Factors'!$C$65</f>
        <v>651.20000000000005</v>
      </c>
      <c r="T32" s="179">
        <f>'Emissions Factors'!$C$66</f>
        <v>6.0999999999999999E-2</v>
      </c>
      <c r="U32" s="179">
        <f>'Emissions Factors'!$C$67</f>
        <v>8.9999999999999993E-3</v>
      </c>
      <c r="V32" s="179">
        <f>'Emissions Factors'!$C$75</f>
        <v>28</v>
      </c>
      <c r="W32" s="179">
        <f>'Emissions Factors'!$C$76</f>
        <v>265</v>
      </c>
      <c r="X32" s="162">
        <f>(R32*S32)*'Emissions Factors'!$C$24</f>
        <v>0</v>
      </c>
      <c r="Y32" s="162">
        <f>(R32*T32*V32)*'Emissions Factors'!$C$24</f>
        <v>0</v>
      </c>
      <c r="Z32" s="162">
        <f>(R32*U32*W32)*'Emissions Factors'!$C$24</f>
        <v>0</v>
      </c>
      <c r="AA32" s="162">
        <f t="shared" si="2"/>
        <v>0</v>
      </c>
      <c r="AB32" s="418">
        <f t="shared" si="3"/>
        <v>0</v>
      </c>
    </row>
    <row r="33" spans="2:28" hidden="1" outlineLevel="1" x14ac:dyDescent="0.15">
      <c r="B33" s="2">
        <v>13</v>
      </c>
      <c r="C33" s="397"/>
      <c r="D33" s="398"/>
      <c r="E33" s="398"/>
      <c r="F33" s="398"/>
      <c r="G33" s="398"/>
      <c r="H33" s="398"/>
      <c r="I33" s="398"/>
      <c r="J33" s="398"/>
      <c r="K33" s="398"/>
      <c r="L33" s="398"/>
      <c r="M33" s="398"/>
      <c r="N33" s="398"/>
      <c r="O33" s="398"/>
      <c r="Q33" s="162">
        <f t="shared" si="0"/>
        <v>0</v>
      </c>
      <c r="R33" s="162">
        <f t="shared" si="1"/>
        <v>0</v>
      </c>
      <c r="S33" s="179">
        <f>'Emissions Factors'!$C$65</f>
        <v>651.20000000000005</v>
      </c>
      <c r="T33" s="179">
        <f>'Emissions Factors'!$C$66</f>
        <v>6.0999999999999999E-2</v>
      </c>
      <c r="U33" s="179">
        <f>'Emissions Factors'!$C$67</f>
        <v>8.9999999999999993E-3</v>
      </c>
      <c r="V33" s="179">
        <f>'Emissions Factors'!$C$75</f>
        <v>28</v>
      </c>
      <c r="W33" s="179">
        <f>'Emissions Factors'!$C$76</f>
        <v>265</v>
      </c>
      <c r="X33" s="162">
        <f>(R33*S33)*'Emissions Factors'!$C$24</f>
        <v>0</v>
      </c>
      <c r="Y33" s="162">
        <f>(R33*T33*V33)*'Emissions Factors'!$C$24</f>
        <v>0</v>
      </c>
      <c r="Z33" s="162">
        <f>(R33*U33*W33)*'Emissions Factors'!$C$24</f>
        <v>0</v>
      </c>
      <c r="AA33" s="162">
        <f t="shared" si="2"/>
        <v>0</v>
      </c>
      <c r="AB33" s="418">
        <f t="shared" si="3"/>
        <v>0</v>
      </c>
    </row>
    <row r="34" spans="2:28" hidden="1" outlineLevel="1" x14ac:dyDescent="0.15">
      <c r="B34" s="2">
        <v>14</v>
      </c>
      <c r="C34" s="397"/>
      <c r="D34" s="398"/>
      <c r="E34" s="398"/>
      <c r="F34" s="398"/>
      <c r="G34" s="398"/>
      <c r="H34" s="398"/>
      <c r="I34" s="398"/>
      <c r="J34" s="398"/>
      <c r="K34" s="398"/>
      <c r="L34" s="398"/>
      <c r="M34" s="398"/>
      <c r="N34" s="398"/>
      <c r="O34" s="398"/>
      <c r="Q34" s="162">
        <f t="shared" si="0"/>
        <v>0</v>
      </c>
      <c r="R34" s="162">
        <f t="shared" si="1"/>
        <v>0</v>
      </c>
      <c r="S34" s="179">
        <f>'Emissions Factors'!$C$65</f>
        <v>651.20000000000005</v>
      </c>
      <c r="T34" s="179">
        <f>'Emissions Factors'!$C$66</f>
        <v>6.0999999999999999E-2</v>
      </c>
      <c r="U34" s="179">
        <f>'Emissions Factors'!$C$67</f>
        <v>8.9999999999999993E-3</v>
      </c>
      <c r="V34" s="179">
        <f>'Emissions Factors'!$C$75</f>
        <v>28</v>
      </c>
      <c r="W34" s="179">
        <f>'Emissions Factors'!$C$76</f>
        <v>265</v>
      </c>
      <c r="X34" s="162">
        <f>(R34*S34)*'Emissions Factors'!$C$24</f>
        <v>0</v>
      </c>
      <c r="Y34" s="162">
        <f>(R34*T34*V34)*'Emissions Factors'!$C$24</f>
        <v>0</v>
      </c>
      <c r="Z34" s="162">
        <f>(R34*U34*W34)*'Emissions Factors'!$C$24</f>
        <v>0</v>
      </c>
      <c r="AA34" s="162">
        <f t="shared" si="2"/>
        <v>0</v>
      </c>
      <c r="AB34" s="418">
        <f t="shared" si="3"/>
        <v>0</v>
      </c>
    </row>
    <row r="35" spans="2:28" hidden="1" outlineLevel="1" x14ac:dyDescent="0.15">
      <c r="B35" s="2">
        <v>15</v>
      </c>
      <c r="C35" s="397"/>
      <c r="D35" s="398"/>
      <c r="E35" s="398"/>
      <c r="F35" s="398"/>
      <c r="G35" s="398"/>
      <c r="H35" s="398"/>
      <c r="I35" s="398"/>
      <c r="J35" s="398"/>
      <c r="K35" s="398"/>
      <c r="L35" s="398"/>
      <c r="M35" s="398"/>
      <c r="N35" s="398"/>
      <c r="O35" s="398"/>
      <c r="Q35" s="162">
        <f t="shared" si="0"/>
        <v>0</v>
      </c>
      <c r="R35" s="162">
        <f t="shared" si="1"/>
        <v>0</v>
      </c>
      <c r="S35" s="179">
        <f>'Emissions Factors'!$C$65</f>
        <v>651.20000000000005</v>
      </c>
      <c r="T35" s="179">
        <f>'Emissions Factors'!$C$66</f>
        <v>6.0999999999999999E-2</v>
      </c>
      <c r="U35" s="179">
        <f>'Emissions Factors'!$C$67</f>
        <v>8.9999999999999993E-3</v>
      </c>
      <c r="V35" s="179">
        <f>'Emissions Factors'!$C$75</f>
        <v>28</v>
      </c>
      <c r="W35" s="179">
        <f>'Emissions Factors'!$C$76</f>
        <v>265</v>
      </c>
      <c r="X35" s="162">
        <f>(R35*S35)*'Emissions Factors'!$C$24</f>
        <v>0</v>
      </c>
      <c r="Y35" s="162">
        <f>(R35*T35*V35)*'Emissions Factors'!$C$24</f>
        <v>0</v>
      </c>
      <c r="Z35" s="162">
        <f>(R35*U35*W35)*'Emissions Factors'!$C$24</f>
        <v>0</v>
      </c>
      <c r="AA35" s="162">
        <f t="shared" si="2"/>
        <v>0</v>
      </c>
      <c r="AB35" s="418">
        <f t="shared" si="3"/>
        <v>0</v>
      </c>
    </row>
    <row r="36" spans="2:28" hidden="1" outlineLevel="1" x14ac:dyDescent="0.15">
      <c r="B36" s="2">
        <v>16</v>
      </c>
      <c r="C36" s="397"/>
      <c r="D36" s="398"/>
      <c r="E36" s="398"/>
      <c r="F36" s="398"/>
      <c r="G36" s="398"/>
      <c r="H36" s="398"/>
      <c r="I36" s="398"/>
      <c r="J36" s="398"/>
      <c r="K36" s="398"/>
      <c r="L36" s="398"/>
      <c r="M36" s="398"/>
      <c r="N36" s="398"/>
      <c r="O36" s="398"/>
      <c r="Q36" s="162">
        <f t="shared" si="0"/>
        <v>0</v>
      </c>
      <c r="R36" s="162">
        <f t="shared" si="1"/>
        <v>0</v>
      </c>
      <c r="S36" s="179">
        <f>'Emissions Factors'!$C$65</f>
        <v>651.20000000000005</v>
      </c>
      <c r="T36" s="179">
        <f>'Emissions Factors'!$C$66</f>
        <v>6.0999999999999999E-2</v>
      </c>
      <c r="U36" s="179">
        <f>'Emissions Factors'!$C$67</f>
        <v>8.9999999999999993E-3</v>
      </c>
      <c r="V36" s="179">
        <f>'Emissions Factors'!$C$75</f>
        <v>28</v>
      </c>
      <c r="W36" s="179">
        <f>'Emissions Factors'!$C$76</f>
        <v>265</v>
      </c>
      <c r="X36" s="162">
        <f>(R36*S36)*'Emissions Factors'!$C$24</f>
        <v>0</v>
      </c>
      <c r="Y36" s="162">
        <f>(R36*T36*V36)*'Emissions Factors'!$C$24</f>
        <v>0</v>
      </c>
      <c r="Z36" s="162">
        <f>(R36*U36*W36)*'Emissions Factors'!$C$24</f>
        <v>0</v>
      </c>
      <c r="AA36" s="162">
        <f t="shared" si="2"/>
        <v>0</v>
      </c>
      <c r="AB36" s="418">
        <f t="shared" si="3"/>
        <v>0</v>
      </c>
    </row>
    <row r="37" spans="2:28" hidden="1" outlineLevel="1" x14ac:dyDescent="0.15">
      <c r="B37" s="2">
        <v>17</v>
      </c>
      <c r="C37" s="397"/>
      <c r="D37" s="398"/>
      <c r="E37" s="398"/>
      <c r="F37" s="398"/>
      <c r="G37" s="398"/>
      <c r="H37" s="398"/>
      <c r="I37" s="398"/>
      <c r="J37" s="398"/>
      <c r="K37" s="398"/>
      <c r="L37" s="398"/>
      <c r="M37" s="398"/>
      <c r="N37" s="398"/>
      <c r="O37" s="398"/>
      <c r="Q37" s="162">
        <f t="shared" si="0"/>
        <v>0</v>
      </c>
      <c r="R37" s="162">
        <f t="shared" si="1"/>
        <v>0</v>
      </c>
      <c r="S37" s="179">
        <f>'Emissions Factors'!$C$65</f>
        <v>651.20000000000005</v>
      </c>
      <c r="T37" s="179">
        <f>'Emissions Factors'!$C$66</f>
        <v>6.0999999999999999E-2</v>
      </c>
      <c r="U37" s="179">
        <f>'Emissions Factors'!$C$67</f>
        <v>8.9999999999999993E-3</v>
      </c>
      <c r="V37" s="179">
        <f>'Emissions Factors'!$C$75</f>
        <v>28</v>
      </c>
      <c r="W37" s="179">
        <f>'Emissions Factors'!$C$76</f>
        <v>265</v>
      </c>
      <c r="X37" s="162">
        <f>(R37*S37)*'Emissions Factors'!$C$24</f>
        <v>0</v>
      </c>
      <c r="Y37" s="162">
        <f>(R37*T37*V37)*'Emissions Factors'!$C$24</f>
        <v>0</v>
      </c>
      <c r="Z37" s="162">
        <f>(R37*U37*W37)*'Emissions Factors'!$C$24</f>
        <v>0</v>
      </c>
      <c r="AA37" s="162">
        <f t="shared" si="2"/>
        <v>0</v>
      </c>
      <c r="AB37" s="418">
        <f t="shared" si="3"/>
        <v>0</v>
      </c>
    </row>
    <row r="38" spans="2:28" hidden="1" outlineLevel="1" x14ac:dyDescent="0.15">
      <c r="B38" s="2">
        <v>18</v>
      </c>
      <c r="C38" s="397"/>
      <c r="D38" s="398"/>
      <c r="E38" s="398"/>
      <c r="F38" s="398"/>
      <c r="G38" s="398"/>
      <c r="H38" s="398"/>
      <c r="I38" s="398"/>
      <c r="J38" s="398"/>
      <c r="K38" s="398"/>
      <c r="L38" s="398"/>
      <c r="M38" s="398"/>
      <c r="N38" s="398"/>
      <c r="O38" s="398"/>
      <c r="Q38" s="162">
        <f t="shared" si="0"/>
        <v>0</v>
      </c>
      <c r="R38" s="162">
        <f t="shared" si="1"/>
        <v>0</v>
      </c>
      <c r="S38" s="179">
        <f>'Emissions Factors'!$C$65</f>
        <v>651.20000000000005</v>
      </c>
      <c r="T38" s="179">
        <f>'Emissions Factors'!$C$66</f>
        <v>6.0999999999999999E-2</v>
      </c>
      <c r="U38" s="179">
        <f>'Emissions Factors'!$C$67</f>
        <v>8.9999999999999993E-3</v>
      </c>
      <c r="V38" s="179">
        <f>'Emissions Factors'!$C$75</f>
        <v>28</v>
      </c>
      <c r="W38" s="179">
        <f>'Emissions Factors'!$C$76</f>
        <v>265</v>
      </c>
      <c r="X38" s="162">
        <f>(R38*S38)*'Emissions Factors'!$C$24</f>
        <v>0</v>
      </c>
      <c r="Y38" s="162">
        <f>(R38*T38*V38)*'Emissions Factors'!$C$24</f>
        <v>0</v>
      </c>
      <c r="Z38" s="162">
        <f>(R38*U38*W38)*'Emissions Factors'!$C$24</f>
        <v>0</v>
      </c>
      <c r="AA38" s="162">
        <f t="shared" si="2"/>
        <v>0</v>
      </c>
      <c r="AB38" s="418">
        <f t="shared" si="3"/>
        <v>0</v>
      </c>
    </row>
    <row r="39" spans="2:28" hidden="1" outlineLevel="1" x14ac:dyDescent="0.15">
      <c r="B39" s="2">
        <v>19</v>
      </c>
      <c r="C39" s="397"/>
      <c r="D39" s="398"/>
      <c r="E39" s="398"/>
      <c r="F39" s="398"/>
      <c r="G39" s="398"/>
      <c r="H39" s="398"/>
      <c r="I39" s="398"/>
      <c r="J39" s="398"/>
      <c r="K39" s="398"/>
      <c r="L39" s="398"/>
      <c r="M39" s="398"/>
      <c r="N39" s="398"/>
      <c r="O39" s="398"/>
      <c r="Q39" s="162">
        <f t="shared" si="0"/>
        <v>0</v>
      </c>
      <c r="R39" s="162">
        <f t="shared" si="1"/>
        <v>0</v>
      </c>
      <c r="S39" s="179">
        <f>'Emissions Factors'!$C$65</f>
        <v>651.20000000000005</v>
      </c>
      <c r="T39" s="179">
        <f>'Emissions Factors'!$C$66</f>
        <v>6.0999999999999999E-2</v>
      </c>
      <c r="U39" s="179">
        <f>'Emissions Factors'!$C$67</f>
        <v>8.9999999999999993E-3</v>
      </c>
      <c r="V39" s="179">
        <f>'Emissions Factors'!$C$75</f>
        <v>28</v>
      </c>
      <c r="W39" s="179">
        <f>'Emissions Factors'!$C$76</f>
        <v>265</v>
      </c>
      <c r="X39" s="162">
        <f>(R39*S39)*'Emissions Factors'!$C$24</f>
        <v>0</v>
      </c>
      <c r="Y39" s="162">
        <f>(R39*T39*V39)*'Emissions Factors'!$C$24</f>
        <v>0</v>
      </c>
      <c r="Z39" s="162">
        <f>(R39*U39*W39)*'Emissions Factors'!$C$24</f>
        <v>0</v>
      </c>
      <c r="AA39" s="162">
        <f t="shared" si="2"/>
        <v>0</v>
      </c>
      <c r="AB39" s="418">
        <f t="shared" si="3"/>
        <v>0</v>
      </c>
    </row>
    <row r="40" spans="2:28" hidden="1" outlineLevel="1" x14ac:dyDescent="0.15">
      <c r="B40" s="2">
        <v>20</v>
      </c>
      <c r="C40" s="397"/>
      <c r="D40" s="398"/>
      <c r="E40" s="398"/>
      <c r="F40" s="398"/>
      <c r="G40" s="398"/>
      <c r="H40" s="398"/>
      <c r="I40" s="398"/>
      <c r="J40" s="398"/>
      <c r="K40" s="398"/>
      <c r="L40" s="398"/>
      <c r="M40" s="398"/>
      <c r="N40" s="398"/>
      <c r="O40" s="398"/>
      <c r="Q40" s="162">
        <f t="shared" si="0"/>
        <v>0</v>
      </c>
      <c r="R40" s="162">
        <f t="shared" si="1"/>
        <v>0</v>
      </c>
      <c r="S40" s="179">
        <f>'Emissions Factors'!$C$65</f>
        <v>651.20000000000005</v>
      </c>
      <c r="T40" s="179">
        <f>'Emissions Factors'!$C$66</f>
        <v>6.0999999999999999E-2</v>
      </c>
      <c r="U40" s="179">
        <f>'Emissions Factors'!$C$67</f>
        <v>8.9999999999999993E-3</v>
      </c>
      <c r="V40" s="179">
        <f>'Emissions Factors'!$C$75</f>
        <v>28</v>
      </c>
      <c r="W40" s="179">
        <f>'Emissions Factors'!$C$76</f>
        <v>265</v>
      </c>
      <c r="X40" s="162">
        <f>(R40*S40)*'Emissions Factors'!$C$24</f>
        <v>0</v>
      </c>
      <c r="Y40" s="162">
        <f>(R40*T40*V40)*'Emissions Factors'!$C$24</f>
        <v>0</v>
      </c>
      <c r="Z40" s="162">
        <f>(R40*U40*W40)*'Emissions Factors'!$C$24</f>
        <v>0</v>
      </c>
      <c r="AA40" s="162">
        <f t="shared" si="2"/>
        <v>0</v>
      </c>
      <c r="AB40" s="418">
        <f t="shared" si="3"/>
        <v>0</v>
      </c>
    </row>
    <row r="41" spans="2:28" hidden="1" outlineLevel="1" x14ac:dyDescent="0.15">
      <c r="B41" s="2">
        <v>21</v>
      </c>
      <c r="C41" s="397"/>
      <c r="D41" s="398"/>
      <c r="E41" s="398"/>
      <c r="F41" s="398"/>
      <c r="G41" s="398"/>
      <c r="H41" s="398"/>
      <c r="I41" s="398"/>
      <c r="J41" s="398"/>
      <c r="K41" s="398"/>
      <c r="L41" s="398"/>
      <c r="M41" s="398"/>
      <c r="N41" s="398"/>
      <c r="O41" s="398"/>
      <c r="Q41" s="162">
        <f t="shared" si="0"/>
        <v>0</v>
      </c>
      <c r="R41" s="162">
        <f t="shared" si="1"/>
        <v>0</v>
      </c>
      <c r="S41" s="179">
        <f>'Emissions Factors'!$C$65</f>
        <v>651.20000000000005</v>
      </c>
      <c r="T41" s="179">
        <f>'Emissions Factors'!$C$66</f>
        <v>6.0999999999999999E-2</v>
      </c>
      <c r="U41" s="179">
        <f>'Emissions Factors'!$C$67</f>
        <v>8.9999999999999993E-3</v>
      </c>
      <c r="V41" s="179">
        <f>'Emissions Factors'!$C$75</f>
        <v>28</v>
      </c>
      <c r="W41" s="179">
        <f>'Emissions Factors'!$C$76</f>
        <v>265</v>
      </c>
      <c r="X41" s="162">
        <f>(R41*S41)*'Emissions Factors'!$C$24</f>
        <v>0</v>
      </c>
      <c r="Y41" s="162">
        <f>(R41*T41*V41)*'Emissions Factors'!$C$24</f>
        <v>0</v>
      </c>
      <c r="Z41" s="162">
        <f>(R41*U41*W41)*'Emissions Factors'!$C$24</f>
        <v>0</v>
      </c>
      <c r="AA41" s="162">
        <f t="shared" si="2"/>
        <v>0</v>
      </c>
      <c r="AB41" s="418">
        <f t="shared" si="3"/>
        <v>0</v>
      </c>
    </row>
    <row r="42" spans="2:28" hidden="1" outlineLevel="1" x14ac:dyDescent="0.15">
      <c r="B42" s="2">
        <v>22</v>
      </c>
      <c r="C42" s="397"/>
      <c r="D42" s="398"/>
      <c r="E42" s="398"/>
      <c r="F42" s="398"/>
      <c r="G42" s="398"/>
      <c r="H42" s="398"/>
      <c r="I42" s="398"/>
      <c r="J42" s="398"/>
      <c r="K42" s="398"/>
      <c r="L42" s="398"/>
      <c r="M42" s="398"/>
      <c r="N42" s="398"/>
      <c r="O42" s="398"/>
      <c r="Q42" s="162">
        <f t="shared" si="0"/>
        <v>0</v>
      </c>
      <c r="R42" s="162">
        <f t="shared" si="1"/>
        <v>0</v>
      </c>
      <c r="S42" s="179">
        <f>'Emissions Factors'!$C$65</f>
        <v>651.20000000000005</v>
      </c>
      <c r="T42" s="179">
        <f>'Emissions Factors'!$C$66</f>
        <v>6.0999999999999999E-2</v>
      </c>
      <c r="U42" s="179">
        <f>'Emissions Factors'!$C$67</f>
        <v>8.9999999999999993E-3</v>
      </c>
      <c r="V42" s="179">
        <f>'Emissions Factors'!$C$75</f>
        <v>28</v>
      </c>
      <c r="W42" s="179">
        <f>'Emissions Factors'!$C$76</f>
        <v>265</v>
      </c>
      <c r="X42" s="162">
        <f>(R42*S42)*'Emissions Factors'!$C$24</f>
        <v>0</v>
      </c>
      <c r="Y42" s="162">
        <f>(R42*T42*V42)*'Emissions Factors'!$C$24</f>
        <v>0</v>
      </c>
      <c r="Z42" s="162">
        <f>(R42*U42*W42)*'Emissions Factors'!$C$24</f>
        <v>0</v>
      </c>
      <c r="AA42" s="162">
        <f t="shared" si="2"/>
        <v>0</v>
      </c>
      <c r="AB42" s="418">
        <f t="shared" si="3"/>
        <v>0</v>
      </c>
    </row>
    <row r="43" spans="2:28" hidden="1" outlineLevel="1" x14ac:dyDescent="0.15">
      <c r="B43" s="2">
        <v>23</v>
      </c>
      <c r="C43" s="397"/>
      <c r="D43" s="398"/>
      <c r="E43" s="398"/>
      <c r="F43" s="398"/>
      <c r="G43" s="398"/>
      <c r="H43" s="398"/>
      <c r="I43" s="398"/>
      <c r="J43" s="398"/>
      <c r="K43" s="398"/>
      <c r="L43" s="398"/>
      <c r="M43" s="398"/>
      <c r="N43" s="398"/>
      <c r="O43" s="398"/>
      <c r="Q43" s="162">
        <f t="shared" si="0"/>
        <v>0</v>
      </c>
      <c r="R43" s="162">
        <f t="shared" si="1"/>
        <v>0</v>
      </c>
      <c r="S43" s="179">
        <f>'Emissions Factors'!$C$65</f>
        <v>651.20000000000005</v>
      </c>
      <c r="T43" s="179">
        <f>'Emissions Factors'!$C$66</f>
        <v>6.0999999999999999E-2</v>
      </c>
      <c r="U43" s="179">
        <f>'Emissions Factors'!$C$67</f>
        <v>8.9999999999999993E-3</v>
      </c>
      <c r="V43" s="179">
        <f>'Emissions Factors'!$C$75</f>
        <v>28</v>
      </c>
      <c r="W43" s="179">
        <f>'Emissions Factors'!$C$76</f>
        <v>265</v>
      </c>
      <c r="X43" s="162">
        <f>(R43*S43)*'Emissions Factors'!$C$24</f>
        <v>0</v>
      </c>
      <c r="Y43" s="162">
        <f>(R43*T43*V43)*'Emissions Factors'!$C$24</f>
        <v>0</v>
      </c>
      <c r="Z43" s="162">
        <f>(R43*U43*W43)*'Emissions Factors'!$C$24</f>
        <v>0</v>
      </c>
      <c r="AA43" s="162">
        <f t="shared" si="2"/>
        <v>0</v>
      </c>
      <c r="AB43" s="418">
        <f t="shared" si="3"/>
        <v>0</v>
      </c>
    </row>
    <row r="44" spans="2:28" hidden="1" outlineLevel="1" x14ac:dyDescent="0.15">
      <c r="B44" s="2">
        <v>24</v>
      </c>
      <c r="C44" s="397"/>
      <c r="D44" s="398"/>
      <c r="E44" s="398"/>
      <c r="F44" s="398"/>
      <c r="G44" s="398"/>
      <c r="H44" s="398"/>
      <c r="I44" s="398"/>
      <c r="J44" s="398"/>
      <c r="K44" s="398"/>
      <c r="L44" s="398"/>
      <c r="M44" s="398"/>
      <c r="N44" s="398"/>
      <c r="O44" s="398"/>
      <c r="Q44" s="162">
        <f t="shared" si="0"/>
        <v>0</v>
      </c>
      <c r="R44" s="162">
        <f t="shared" si="1"/>
        <v>0</v>
      </c>
      <c r="S44" s="179">
        <f>'Emissions Factors'!$C$65</f>
        <v>651.20000000000005</v>
      </c>
      <c r="T44" s="179">
        <f>'Emissions Factors'!$C$66</f>
        <v>6.0999999999999999E-2</v>
      </c>
      <c r="U44" s="179">
        <f>'Emissions Factors'!$C$67</f>
        <v>8.9999999999999993E-3</v>
      </c>
      <c r="V44" s="179">
        <f>'Emissions Factors'!$C$75</f>
        <v>28</v>
      </c>
      <c r="W44" s="179">
        <f>'Emissions Factors'!$C$76</f>
        <v>265</v>
      </c>
      <c r="X44" s="162">
        <f>(R44*S44)*'Emissions Factors'!$C$24</f>
        <v>0</v>
      </c>
      <c r="Y44" s="162">
        <f>(R44*T44*V44)*'Emissions Factors'!$C$24</f>
        <v>0</v>
      </c>
      <c r="Z44" s="162">
        <f>(R44*U44*W44)*'Emissions Factors'!$C$24</f>
        <v>0</v>
      </c>
      <c r="AA44" s="162">
        <f t="shared" si="2"/>
        <v>0</v>
      </c>
      <c r="AB44" s="418">
        <f t="shared" si="3"/>
        <v>0</v>
      </c>
    </row>
    <row r="45" spans="2:28" hidden="1" outlineLevel="1" x14ac:dyDescent="0.15">
      <c r="B45" s="2">
        <v>25</v>
      </c>
      <c r="C45" s="397"/>
      <c r="D45" s="398"/>
      <c r="E45" s="398"/>
      <c r="F45" s="398"/>
      <c r="G45" s="398"/>
      <c r="H45" s="398"/>
      <c r="I45" s="398"/>
      <c r="J45" s="398"/>
      <c r="K45" s="398"/>
      <c r="L45" s="398"/>
      <c r="M45" s="398"/>
      <c r="N45" s="398"/>
      <c r="O45" s="398"/>
      <c r="Q45" s="162">
        <f t="shared" si="0"/>
        <v>0</v>
      </c>
      <c r="R45" s="162">
        <f t="shared" si="1"/>
        <v>0</v>
      </c>
      <c r="S45" s="179">
        <f>'Emissions Factors'!$C$65</f>
        <v>651.20000000000005</v>
      </c>
      <c r="T45" s="179">
        <f>'Emissions Factors'!$C$66</f>
        <v>6.0999999999999999E-2</v>
      </c>
      <c r="U45" s="179">
        <f>'Emissions Factors'!$C$67</f>
        <v>8.9999999999999993E-3</v>
      </c>
      <c r="V45" s="179">
        <f>'Emissions Factors'!$C$75</f>
        <v>28</v>
      </c>
      <c r="W45" s="179">
        <f>'Emissions Factors'!$C$76</f>
        <v>265</v>
      </c>
      <c r="X45" s="162">
        <f>(R45*S45)*'Emissions Factors'!$C$24</f>
        <v>0</v>
      </c>
      <c r="Y45" s="162">
        <f>(R45*T45*V45)*'Emissions Factors'!$C$24</f>
        <v>0</v>
      </c>
      <c r="Z45" s="162">
        <f>(R45*U45*W45)*'Emissions Factors'!$C$24</f>
        <v>0</v>
      </c>
      <c r="AA45" s="162">
        <f t="shared" si="2"/>
        <v>0</v>
      </c>
      <c r="AB45" s="418">
        <f t="shared" si="3"/>
        <v>0</v>
      </c>
    </row>
    <row r="46" spans="2:28" ht="20" customHeight="1" collapsed="1" x14ac:dyDescent="0.15">
      <c r="B46" s="424" t="s">
        <v>894</v>
      </c>
      <c r="C46" s="130"/>
      <c r="D46" s="130"/>
      <c r="E46" s="130"/>
      <c r="F46" s="130"/>
      <c r="G46" s="130"/>
      <c r="H46" s="130"/>
      <c r="I46" s="130"/>
      <c r="J46" s="130"/>
      <c r="K46" s="130"/>
      <c r="L46" s="130"/>
      <c r="M46" s="130"/>
      <c r="N46" s="130"/>
      <c r="O46" s="130"/>
    </row>
    <row r="47" spans="2:28" ht="20.25" customHeight="1" x14ac:dyDescent="0.2">
      <c r="B47" s="553" t="s">
        <v>433</v>
      </c>
      <c r="C47" s="553"/>
      <c r="D47" s="553"/>
      <c r="E47" s="553"/>
      <c r="F47" s="553"/>
      <c r="G47" s="553"/>
      <c r="H47" s="553"/>
      <c r="I47" s="553"/>
      <c r="J47" s="553"/>
      <c r="K47" s="553"/>
      <c r="L47" s="553"/>
      <c r="M47" s="553"/>
      <c r="N47" s="553"/>
      <c r="O47" s="553"/>
      <c r="P47" s="553"/>
    </row>
    <row r="48" spans="2:28" x14ac:dyDescent="0.15">
      <c r="B48" s="539"/>
      <c r="C48" s="540"/>
      <c r="D48" s="540"/>
      <c r="E48" s="540"/>
      <c r="F48" s="540"/>
      <c r="G48" s="540"/>
      <c r="H48" s="540"/>
      <c r="I48" s="540"/>
      <c r="J48" s="540"/>
      <c r="K48" s="540"/>
      <c r="L48" s="540"/>
      <c r="M48" s="540"/>
      <c r="N48" s="540"/>
      <c r="O48" s="540"/>
      <c r="P48" s="541"/>
    </row>
    <row r="49" spans="2:16" x14ac:dyDescent="0.15">
      <c r="B49" s="542"/>
      <c r="C49" s="543"/>
      <c r="D49" s="543"/>
      <c r="E49" s="543"/>
      <c r="F49" s="543"/>
      <c r="G49" s="543"/>
      <c r="H49" s="543"/>
      <c r="I49" s="543"/>
      <c r="J49" s="543"/>
      <c r="K49" s="543"/>
      <c r="L49" s="543"/>
      <c r="M49" s="543"/>
      <c r="N49" s="543"/>
      <c r="O49" s="543"/>
      <c r="P49" s="544"/>
    </row>
    <row r="50" spans="2:16" x14ac:dyDescent="0.15">
      <c r="B50" s="542"/>
      <c r="C50" s="543"/>
      <c r="D50" s="543"/>
      <c r="E50" s="543"/>
      <c r="F50" s="543"/>
      <c r="G50" s="543"/>
      <c r="H50" s="543"/>
      <c r="I50" s="543"/>
      <c r="J50" s="543"/>
      <c r="K50" s="543"/>
      <c r="L50" s="543"/>
      <c r="M50" s="543"/>
      <c r="N50" s="543"/>
      <c r="O50" s="543"/>
      <c r="P50" s="544"/>
    </row>
    <row r="51" spans="2:16" x14ac:dyDescent="0.15">
      <c r="B51" s="542"/>
      <c r="C51" s="543"/>
      <c r="D51" s="543"/>
      <c r="E51" s="543"/>
      <c r="F51" s="543"/>
      <c r="G51" s="543"/>
      <c r="H51" s="543"/>
      <c r="I51" s="543"/>
      <c r="J51" s="543"/>
      <c r="K51" s="543"/>
      <c r="L51" s="543"/>
      <c r="M51" s="543"/>
      <c r="N51" s="543"/>
      <c r="O51" s="543"/>
      <c r="P51" s="544"/>
    </row>
    <row r="52" spans="2:16" x14ac:dyDescent="0.15">
      <c r="B52" s="542"/>
      <c r="C52" s="543"/>
      <c r="D52" s="543"/>
      <c r="E52" s="543"/>
      <c r="F52" s="543"/>
      <c r="G52" s="543"/>
      <c r="H52" s="543"/>
      <c r="I52" s="543"/>
      <c r="J52" s="543"/>
      <c r="K52" s="543"/>
      <c r="L52" s="543"/>
      <c r="M52" s="543"/>
      <c r="N52" s="543"/>
      <c r="O52" s="543"/>
      <c r="P52" s="544"/>
    </row>
    <row r="53" spans="2:16" x14ac:dyDescent="0.15">
      <c r="B53" s="545"/>
      <c r="C53" s="546"/>
      <c r="D53" s="546"/>
      <c r="E53" s="546"/>
      <c r="F53" s="546"/>
      <c r="G53" s="546"/>
      <c r="H53" s="546"/>
      <c r="I53" s="546"/>
      <c r="J53" s="546"/>
      <c r="K53" s="546"/>
      <c r="L53" s="546"/>
      <c r="M53" s="546"/>
      <c r="N53" s="546"/>
      <c r="O53" s="546"/>
      <c r="P53" s="547"/>
    </row>
  </sheetData>
  <sheetProtection algorithmName="SHA-512" hashValue="3RhpAHYFF/JIFWRg0If2Njc+xOBXn2H5NvIG/VMnJ5z1s9XYsphOr7EEMTdx9ym4qGgF2uUrCiEvlycdG20aLQ==" saltValue="GM7iHxpOaGnaJ+uxGy1WMw==" spinCount="100000" sheet="1" objects="1" scenarios="1"/>
  <mergeCells count="9">
    <mergeCell ref="B48:P53"/>
    <mergeCell ref="B47:P47"/>
    <mergeCell ref="B16:P16"/>
    <mergeCell ref="B17:P17"/>
    <mergeCell ref="B6:P6"/>
    <mergeCell ref="B8:P8"/>
    <mergeCell ref="B13:C13"/>
    <mergeCell ref="D13:O13"/>
    <mergeCell ref="B11:C11"/>
  </mergeCells>
  <phoneticPr fontId="10" type="noConversion"/>
  <pageMargins left="0.7" right="0.7" top="0.75" bottom="0.75" header="0.3" footer="0.3"/>
  <headerFooter>
    <oddFooter>&amp;R&amp;"-,Bold"&amp;K01+013LIVE Winery Program Greenhouse Gas Emissions Report&amp;"-,Regular"  |  LIVE-XWX-12031401-A0</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9F4149C834D24EAB5C36D932541170" ma:contentTypeVersion="13" ma:contentTypeDescription="Create a new document." ma:contentTypeScope="" ma:versionID="4b8021dea0a2b8425c6ef76a39d4801e">
  <xsd:schema xmlns:xsd="http://www.w3.org/2001/XMLSchema" xmlns:xs="http://www.w3.org/2001/XMLSchema" xmlns:p="http://schemas.microsoft.com/office/2006/metadata/properties" xmlns:ns2="ecec57dd-5c32-4f73-9046-03bac5f3c261" xmlns:ns3="95b52d1d-f458-4f10-929f-5c57c93cd82a" targetNamespace="http://schemas.microsoft.com/office/2006/metadata/properties" ma:root="true" ma:fieldsID="47236391a147337e4fa5fd2d7ccec196" ns2:_="" ns3:_="">
    <xsd:import namespace="ecec57dd-5c32-4f73-9046-03bac5f3c261"/>
    <xsd:import namespace="95b52d1d-f458-4f10-929f-5c57c93cd82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c57dd-5c32-4f73-9046-03bac5f3c26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b52d1d-f458-4f10-929f-5c57c93cd82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B59F0B-FC1E-49E8-8FE7-53370684F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c57dd-5c32-4f73-9046-03bac5f3c261"/>
    <ds:schemaRef ds:uri="95b52d1d-f458-4f10-929f-5c57c93cd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BD2EFE-EAE6-43B3-BCFC-B85CFC775A75}">
  <ds:schemaRef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http://purl.org/dc/dcmitype/"/>
    <ds:schemaRef ds:uri="ecec57dd-5c32-4f73-9046-03bac5f3c261"/>
    <ds:schemaRef ds:uri="http://schemas.microsoft.com/office/infopath/2007/PartnerControls"/>
    <ds:schemaRef ds:uri="http://schemas.openxmlformats.org/package/2006/metadata/core-properties"/>
    <ds:schemaRef ds:uri="95b52d1d-f458-4f10-929f-5c57c93cd82a"/>
  </ds:schemaRefs>
</ds:datastoreItem>
</file>

<file path=customXml/itemProps3.xml><?xml version="1.0" encoding="utf-8"?>
<ds:datastoreItem xmlns:ds="http://schemas.openxmlformats.org/officeDocument/2006/customXml" ds:itemID="{7FFCE1D6-BC32-464B-8914-A029C42B6E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Emissions Factors</vt:lpstr>
      <vt:lpstr>Instructions</vt:lpstr>
      <vt:lpstr>General</vt:lpstr>
      <vt:lpstr>Stationary</vt:lpstr>
      <vt:lpstr>Mobile</vt:lpstr>
      <vt:lpstr>Refrigerants</vt:lpstr>
      <vt:lpstr>Land Applications</vt:lpstr>
      <vt:lpstr>Land Management</vt:lpstr>
      <vt:lpstr>Electricity</vt:lpstr>
      <vt:lpstr>Packaging Materials</vt:lpstr>
      <vt:lpstr>Business Travel</vt:lpstr>
      <vt:lpstr>Freight Transport</vt:lpstr>
      <vt:lpstr>Off-site Waste</vt:lpstr>
      <vt:lpstr>Report</vt:lpstr>
      <vt:lpstr>'Business Travel'!Print_Area</vt:lpstr>
      <vt:lpstr>Electricity!Print_Area</vt:lpstr>
      <vt:lpstr>'Freight Transport'!Print_Area</vt:lpstr>
      <vt:lpstr>General!Print_Area</vt:lpstr>
      <vt:lpstr>Instructions!Print_Area</vt:lpstr>
      <vt:lpstr>Mobile!Print_Area</vt:lpstr>
      <vt:lpstr>'Off-site Waste'!Print_Area</vt:lpstr>
      <vt:lpstr>Refrigerants!Print_Area</vt:lpstr>
      <vt:lpstr>Report!Print_Area</vt:lpstr>
      <vt:lpstr>Stationary!Print_Area</vt:lpstr>
    </vt:vector>
  </TitlesOfParts>
  <Company>LIVE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Dvorak</dc:creator>
  <cp:lastModifiedBy>Christopher Serra</cp:lastModifiedBy>
  <cp:lastPrinted>2015-01-16T17:11:57Z</cp:lastPrinted>
  <dcterms:created xsi:type="dcterms:W3CDTF">2009-07-29T23:44:33Z</dcterms:created>
  <dcterms:modified xsi:type="dcterms:W3CDTF">2025-02-18T23:37:58Z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0x010100839F4149C834D24EAB5C36D932541170</vt:lpwstr>
  </property>
  <property fmtid="{D5CDD505-2E9C-101B-9397-08002B2CF9AE}" pid="3" name="Order">
    <vt:r8>6801400</vt:r8>
  </property>
</Properties>
</file>